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590" activeTab="0"/>
  </bookViews>
  <sheets>
    <sheet name="żródła" sheetId="1" r:id="rId1"/>
  </sheets>
  <definedNames>
    <definedName name="_xlnm.Print_Titles" localSheetId="0">'żródła'!$2:$3</definedName>
  </definedNames>
  <calcPr fullCalcOnLoad="1"/>
</workbook>
</file>

<file path=xl/sharedStrings.xml><?xml version="1.0" encoding="utf-8"?>
<sst xmlns="http://schemas.openxmlformats.org/spreadsheetml/2006/main" count="228" uniqueCount="209">
  <si>
    <t>Lp.</t>
  </si>
  <si>
    <t>Gmina</t>
  </si>
  <si>
    <t>Powiat</t>
  </si>
  <si>
    <t>Razem</t>
  </si>
  <si>
    <t>DOCHODY OGÓŁEM</t>
  </si>
  <si>
    <t xml:space="preserve">podatek od nieruchomości </t>
  </si>
  <si>
    <t xml:space="preserve">podatek od środków transportowych </t>
  </si>
  <si>
    <t>opłata skarbowa</t>
  </si>
  <si>
    <t>pozostałe</t>
  </si>
  <si>
    <t>podatek rolny</t>
  </si>
  <si>
    <t xml:space="preserve">podatek leśny </t>
  </si>
  <si>
    <t>zaległości z podatków zniesionych</t>
  </si>
  <si>
    <t xml:space="preserve">opłata administracyjna </t>
  </si>
  <si>
    <t>odsetki i opłata prolongacyjna</t>
  </si>
  <si>
    <t>Podatki pobierane przez urzędy skarbowe</t>
  </si>
  <si>
    <t>karta podatkowa</t>
  </si>
  <si>
    <t>podatek od spadków i darowizn</t>
  </si>
  <si>
    <t xml:space="preserve">podatek od czynności cywilnoprawnych </t>
  </si>
  <si>
    <t>odsetki od należności podatkowych pobieranych przez US</t>
  </si>
  <si>
    <t>wpływy ze sprzedaży mienia komunalnego</t>
  </si>
  <si>
    <t>dochody z dzierżawy</t>
  </si>
  <si>
    <t>wpływy z lokali użytkowych</t>
  </si>
  <si>
    <t>użytkowanie wieczyste</t>
  </si>
  <si>
    <t>opłata adiacencka i renta planistyczna</t>
  </si>
  <si>
    <t xml:space="preserve">sprzedaż składników majątkowych </t>
  </si>
  <si>
    <t>dochody z najmu i dzierżawy skł. majątkowych gminy oddanych w użytkowanie jednostkom i zakł. budżetowym</t>
  </si>
  <si>
    <t>wpływy z czynszów za mieszkania służbowe</t>
  </si>
  <si>
    <t xml:space="preserve">Inne dochody własne </t>
  </si>
  <si>
    <t>wpływy Zarządu Komunikacji Miejskiej</t>
  </si>
  <si>
    <t>wpływy z opłat rodziców za pobyt dzieci w żłobku</t>
  </si>
  <si>
    <t>wpływy z usług opiekuńczych i opłaty za pobyt w ośrodkach wsparcia</t>
  </si>
  <si>
    <t>wpływy z usług Gdyńskiego Centrum Innowacji</t>
  </si>
  <si>
    <t xml:space="preserve">wpływy z opłat za pobyt w domu opieki społecznej </t>
  </si>
  <si>
    <t xml:space="preserve">opłaty za wpis do rejestru działalności gospodarczej za egzaminy i dokumenty wydawane w związku z wykonywaniem transportu drogowego oraz inne opłaty pobierane przez UM </t>
  </si>
  <si>
    <t>25% dochodów z nieruchom.Skarbu Państwa</t>
  </si>
  <si>
    <t xml:space="preserve">5% dochodów uzysk. na rzecz budżetu państwa w związku z real. zad. zleconych </t>
  </si>
  <si>
    <t>dochody z tyt. ustawy o przeciwdziałaniu alkoholizmowi</t>
  </si>
  <si>
    <t>opłaty za tablice rejestracyjne, prawa jazdy, świadectwa kwal.itp.</t>
  </si>
  <si>
    <t>opłaty za usuwanie pojazdów z pasa drogowego</t>
  </si>
  <si>
    <t>środki z opłat za zajęcie pasa drogowego, umieszczanie reklam i stoisk w pasie drogowym i in.</t>
  </si>
  <si>
    <t>odsetki od środków na rachunkach bankowych</t>
  </si>
  <si>
    <t>wpływy z opłat za korzystanie z lodowiska</t>
  </si>
  <si>
    <t>pozostałe dochody</t>
  </si>
  <si>
    <t>grzywny i kary - Straż Miejska</t>
  </si>
  <si>
    <t>wpływy z opłat za pobyt dzieci w placówkach opiekuńczo - wychowawczych</t>
  </si>
  <si>
    <t>zwrot kosztów wyceny i kosztów postępowania sądowego</t>
  </si>
  <si>
    <t>otrzymane darowizny</t>
  </si>
  <si>
    <t>wpływy ze środków specjalnych</t>
  </si>
  <si>
    <t>różne dochody jednostek organizacyjnych miasta</t>
  </si>
  <si>
    <t>rozliczenia z lat ubiegłych</t>
  </si>
  <si>
    <t xml:space="preserve">zadania oświatowe </t>
  </si>
  <si>
    <t>Miejski Rzecznik Konsumentów</t>
  </si>
  <si>
    <t>obsługa mieszkańców Sopotu przez Powiatowy Urząd Pracy w Gdyni</t>
  </si>
  <si>
    <t xml:space="preserve">rodziny zastępcze </t>
  </si>
  <si>
    <t>środki dla Powiatowego Zespołu ds.. Orzekania o Niepełnosprawności zgodnie z zawartym porozumieniem pomiędzy Miastem Gdynia, a Mastem Sopot</t>
  </si>
  <si>
    <t>placówki opiekuńczo - wychowawcze</t>
  </si>
  <si>
    <t>środki z gmin ościennych na organizację usług komunikacyjnych na ich terenie przez ZKM w Gdyni na podstawie porozumień</t>
  </si>
  <si>
    <t>Dotacje i inne środki zewnętrzne na dofinansowanie zadań własnych</t>
  </si>
  <si>
    <t>środki na rozbudowę ul. J.Wiśniewskiego (porozumienie z Zarządem Morskiego Portu Gdynia S.A.)</t>
  </si>
  <si>
    <t>wkład beneficjentów w realizację zadania: rozwój turystyki w rejonie Zatoki Gdańskiej</t>
  </si>
  <si>
    <t>dotacja z funduszu rozwoju kultury fizycznej na dofinansowanie budowy hali widowiskowo - sportowej</t>
  </si>
  <si>
    <t>Środki z UE na dofinansowanie zadań własnych</t>
  </si>
  <si>
    <t>środki na rozbudowę ul. J.Wiśniewskiego</t>
  </si>
  <si>
    <t>środki na realizację zadania: rozwój turystyki w rejonie Zatoki Gdańskiej współfinansowanego ze środków funduszu PHARE</t>
  </si>
  <si>
    <t>środki z wkładu UE na realizację projektu SEBTrans - Link - nowoczesny Terminal Promowy w Porcie Wschodnim w Gdyni</t>
  </si>
  <si>
    <t>środki na budowę Trasy Kwiatkowskigo</t>
  </si>
  <si>
    <t>środki na dofinansowanie projektu SOCRATES COMENIUS</t>
  </si>
  <si>
    <t>środki na dofinansowanie projektu "Pomorski Park Naukowo - Technologiczny"</t>
  </si>
  <si>
    <t>Udziały we wpływach z podatków dochodowych</t>
  </si>
  <si>
    <t xml:space="preserve">udziały w podatku dochodowym od osób fizycznych </t>
  </si>
  <si>
    <t xml:space="preserve"> udziały w podatku dochodowym od osób prawnych</t>
  </si>
  <si>
    <t>II.  SUBWENCJA OGÓLNA</t>
  </si>
  <si>
    <t>część oświatowa</t>
  </si>
  <si>
    <t xml:space="preserve">część rekompensująca </t>
  </si>
  <si>
    <t>część równoważąca</t>
  </si>
  <si>
    <t>III.  DOTACJE CELOWE Z BUDŻETU PAŃSTWA</t>
  </si>
  <si>
    <t>NA ZADANIA ZLECONE</t>
  </si>
  <si>
    <r>
      <t xml:space="preserve">opieka społeczna, </t>
    </r>
    <r>
      <rPr>
        <i/>
        <sz val="8"/>
        <rFont val="Arial CE"/>
        <family val="2"/>
      </rPr>
      <t>w tym:</t>
    </r>
  </si>
  <si>
    <t xml:space="preserve"> ośrodki wsparcia</t>
  </si>
  <si>
    <t xml:space="preserve"> składki na ubezp. zdrowotne</t>
  </si>
  <si>
    <t xml:space="preserve"> zasiłki i pomoc w naturze</t>
  </si>
  <si>
    <t>świadczenia rodzinne</t>
  </si>
  <si>
    <t xml:space="preserve"> usługi opiekuńcze</t>
  </si>
  <si>
    <t>zespół ds. orzekania o stopniu niepełnosprawn.</t>
  </si>
  <si>
    <t xml:space="preserve">składki na ubezpieczenia zdrowotne </t>
  </si>
  <si>
    <t>wybory do Parlamentu Europejskiego</t>
  </si>
  <si>
    <t>wybory do Sejmu i Senatu</t>
  </si>
  <si>
    <t>wybory Prezydenta Rzeczypospolitej Polskiej</t>
  </si>
  <si>
    <t>rejestr wyborców</t>
  </si>
  <si>
    <t>funkcjonowanie Centrum Ratownictwa Medycznego</t>
  </si>
  <si>
    <t xml:space="preserve">prace geodezyjne i kartograficzne </t>
  </si>
  <si>
    <t>opracowania geodezyjne i kartograficzne</t>
  </si>
  <si>
    <t>gospodarka gruntami i nieruchomościami</t>
  </si>
  <si>
    <t>komisje poborowe</t>
  </si>
  <si>
    <t>NA ZADANIA REALIZOWANE NA MOCY POROZUMIEŃ Z ORGANAMI ADMINISTRACJI RZĄDOWEJ</t>
  </si>
  <si>
    <t>zadania z zakresu oświaty</t>
  </si>
  <si>
    <t>zakup książek do biblioteki</t>
  </si>
  <si>
    <t>dotacja dla Teatru Miejskiego</t>
  </si>
  <si>
    <t>utrzymanie grobów wojennych</t>
  </si>
  <si>
    <t>NA FINANSOWANIE LUB DOFINANSOWANIE ZADAŃ WŁASNYCH</t>
  </si>
  <si>
    <t>pomoc materialna dla uczniów</t>
  </si>
  <si>
    <t>uczniowskie praktyki zawodowe</t>
  </si>
  <si>
    <t>stypendia oraz inne formy pomocy pomocy dla uczniów</t>
  </si>
  <si>
    <t>budowa Muzeum miasta Gdyni</t>
  </si>
  <si>
    <t>komisje kwalifikacyjne i egzaminacyjne</t>
  </si>
  <si>
    <t>zadania z zakresu opieki społecznej:</t>
  </si>
  <si>
    <t>dożywianie uczniów</t>
  </si>
  <si>
    <t>DPS Legionów</t>
  </si>
  <si>
    <t>opieka w domach o zasięgu ponadgminnym</t>
  </si>
  <si>
    <t>zasiłki i pomoc w naturze</t>
  </si>
  <si>
    <t>ośrodki pomocy społecznej</t>
  </si>
  <si>
    <t>PRZYCHODY, w tym:</t>
  </si>
  <si>
    <t>wolne środki</t>
  </si>
  <si>
    <t>pożyczka z WFOŚ</t>
  </si>
  <si>
    <t xml:space="preserve">RAZEM DOCHODY I PRZYCHODY </t>
  </si>
  <si>
    <r>
      <t xml:space="preserve">I. </t>
    </r>
    <r>
      <rPr>
        <b/>
        <sz val="10"/>
        <rFont val="Arial CE"/>
        <family val="2"/>
      </rPr>
      <t xml:space="preserve"> DOCHODY WŁASNE, w tym:</t>
    </r>
  </si>
  <si>
    <t>ośrodki interwencji kryzysowej</t>
  </si>
  <si>
    <t>z Funduszu Pracy na finansowanie wynagrodzeń i składek na ubezpieczenie pracowników Powiatowego Urzędu Pracy</t>
  </si>
  <si>
    <t>środki na dofinansowanie projektów: "Tellus", " Otwarta platforma usług Urzędu udostępnianych drogą telefonii komórkowej"</t>
  </si>
  <si>
    <t>środki zwrócone przez Urząd Skarbowy na podstawie wyroku Sądu</t>
  </si>
  <si>
    <t>środki na realizację projektu SEBTrans - Link - nowoczesny Terminal Promowy w Porcie Wschodnim w Gdyni</t>
  </si>
  <si>
    <t>środki na dofinansowanie projektu " Szkolenia kompetencyjne w zakresie pomocy dziecku krzywdzonemu w Gdyni"</t>
  </si>
  <si>
    <t>środki na realizację projektu ABC II (Alians Miast Bałtyckich)</t>
  </si>
  <si>
    <t>środki na dofinansowanie projektu "Szkolenia kompetencyjne w zakresie pomocy dziecku krzywdzonemu w Gdyni"</t>
  </si>
  <si>
    <t>wpłata części zysku gospodarstwa pomocniczego</t>
  </si>
  <si>
    <t>środki na realizację projektu "MariTour"</t>
  </si>
  <si>
    <t>środki przeznaczone na wsparcie osoby poszkodowanej w katastrofie budowlanej na terenie Międzynarodowych Targów Katowickich</t>
  </si>
  <si>
    <t>realizacja projektu "Szkolny monitoring zanieczyszczeń najbliższego otoczenia z wykorzystaniem prostych technik biologicznych i chemicznych"</t>
  </si>
  <si>
    <t xml:space="preserve">zwrot kosztów audytu zewnętrznego 4 projektów planowanych do realizacji przez PUP współfinansowanych ze środków Europejskiego Funduszu Społecznego </t>
  </si>
  <si>
    <t>środki na realizację projektu "Bustrip" wdrażanie i planowanie Bałtyckiego Miejskiego Zrównoważonego Transportu</t>
  </si>
  <si>
    <t>utrzymanie schroniska dla zwierząt "Ciapkowo"</t>
  </si>
  <si>
    <t>koszty wydawania decyzji w sprawie świadczeń zdrowotnych</t>
  </si>
  <si>
    <t>środki otrzymane z Towarzystw Ubezpieczeniowych z tytułu odszkodowania za naprawę uszkodzonych latarni ulicznych</t>
  </si>
  <si>
    <t>środki na realizację projektu "www.innowacje.gdynia.pl"</t>
  </si>
  <si>
    <t>funkcjonowanie Centrum Powiadamiania Ratunkowego</t>
  </si>
  <si>
    <t>projekt "BALTINNO"</t>
  </si>
  <si>
    <t>administracja państwowa (na zadania bieżące i inwestycyjne)</t>
  </si>
  <si>
    <t>środki z Agencji Rozwoju Pomorza na realizację projektu "www.innowacje.gdynia.pl"</t>
  </si>
  <si>
    <t xml:space="preserve">środki na dofinansowanie projektu "Fundusz stypendialny dla uczniów gdyńskich szkół ponadgimnazjalnych" </t>
  </si>
  <si>
    <t xml:space="preserve">środki z budżetu państwa na dofinansowanie projektu "Fundusz stypendialny dla uczniów gdyńskich szkół ponadgimnazjalnych" </t>
  </si>
  <si>
    <t>środki z PFRON -u na realizację zadania " Niepełnosprawny pracownik na rynku pracy"</t>
  </si>
  <si>
    <t>Inspektorat Nadzoru Budowlanego (na zadania bieżące i inwestycyjne)</t>
  </si>
  <si>
    <t>środki na realizację projektu "Gdyński Spinaker - Aktywizacja długotrwale bezrobotnych, samotnych rodziców na rynku pracy"</t>
  </si>
  <si>
    <t>projekt "Poprawa czystości wód morza Bałtyckiego poprzez rozwój systemów gospodarki wodnej" - I etap</t>
  </si>
  <si>
    <t>dotacja z WFOŚ na funkcjonowanie tramwaju wodnego</t>
  </si>
  <si>
    <t>dotacja z Urzędu Marszałkowskiego na funkcjonowanie tramwaju wodnego</t>
  </si>
  <si>
    <t>zadania z zakresu budowy systemu ratownictwa medycznego</t>
  </si>
  <si>
    <t>pomoc dla rodzin rolniczych, których gospodarstwa rolne zostały dotknięte suszą w 2006r.</t>
  </si>
  <si>
    <t>koszty związane z postępowaniem w sprawie zwrotu podatku akcyzowego zawartego w cenie oleju napędowego wykorzystywanego do produkcji rolnej</t>
  </si>
  <si>
    <t>wybory samorządowe</t>
  </si>
  <si>
    <t>zwrot wydatków poniesionych na realizację inwestycji infrastrukturalnych</t>
  </si>
  <si>
    <t>dotacja na realizację inwestycji "Budowa muzeum Miasta Gdyni etap II"</t>
  </si>
  <si>
    <t>sfinansowanie nauczania języka angielskiego w pierwszych klasach szkół podstawowych</t>
  </si>
  <si>
    <t xml:space="preserve">rekompensata utraconych dochodów (z PFRON - u) z tytułu zwolnień w podatkach </t>
  </si>
  <si>
    <t>Treść</t>
  </si>
  <si>
    <t>projekt "YOUTH" Młodzieżowa Rewizja Dzisiejszych Miejskich Zwyczajów Transportowych</t>
  </si>
  <si>
    <t>% wykonania (kol.8:5)</t>
  </si>
  <si>
    <t>wypłata renty socjalnej za okres od 1 lipca 2002r. do 30 września 2003r.</t>
  </si>
  <si>
    <t>lokalne inicjatywy inwestycyjne</t>
  </si>
  <si>
    <t>pożyczka na prefinansowanie budowy Trasy Kwiatkowskiego - wpływ</t>
  </si>
  <si>
    <t>pożyczka na prefinansowanie budowy Trasy Kwiatkowskiego - spłata</t>
  </si>
  <si>
    <t xml:space="preserve">Droga Różowa IV etap - rozbudowa ul. Lotników </t>
  </si>
  <si>
    <t>środki na realizację projektu "A-B Landbridge"</t>
  </si>
  <si>
    <t xml:space="preserve">dotacja z Narodowego Funduszu Ochrony Środowiska i Gospodarki Wodnej na dofinansowanie przedsięwziecia "Ekologiczna wystawa edukacyjna" </t>
  </si>
  <si>
    <t>projekt "CreActive NET"</t>
  </si>
  <si>
    <t>uzupełnienie subwencji ogólnej na dofinansowanie inwestycji drogowej</t>
  </si>
  <si>
    <t>środki na realizację zadania " Niepełnosprawny pracownik na otwartym rynku pracy"</t>
  </si>
  <si>
    <t>program "Posiłek dla potrzebujących"</t>
  </si>
  <si>
    <t>środki z Norweskiego Mechanizmu Finansowego na dofinansowanie realizacji projektu "Kompleksowa termomodernizacja siedmiu budynków placówek oświatowych na terenie Gdyni"</t>
  </si>
  <si>
    <t>wpływy z usług Centrum Aktywności Seniora</t>
  </si>
  <si>
    <t>wpływy z usług Zespołu Placówek Specjalistycznych im. Lisieckiego "Dziadka"</t>
  </si>
  <si>
    <t>finansowanie drogowych zadań z zakresu poprawy bezpieczeństwa ruchu drogowego ze środków Pożyczek Ramowych- Projekt Rehabilitacji Dróg Priorytetowych II A i B</t>
  </si>
  <si>
    <t>środki z Funduszu Rozwoju Kultury Fizycznej na dofinansowanie programu szkolenia młodzieży uzdolnionej sportowo</t>
  </si>
  <si>
    <t>środki z Państwowego Funduszu Rehabilitacji Osób Niepełnosprawnych na dofinansowanie projektów "Jestem sprawny, świat mnie rozumie" i " W mojej szkole jestem bezpieczny"</t>
  </si>
  <si>
    <t>opłata od posiadania psów</t>
  </si>
  <si>
    <t>funkcjonowanie ośrodków interwencji kryzysowej</t>
  </si>
  <si>
    <t>w ramach wdrażania reformy oświaty- wypłaty wynagrodzeń dla nauczycieli za przeprowadzenie (poza tygodniowym obowiązkowym wymiarem zajęć) ustnego egzaminu maturalnego</t>
  </si>
  <si>
    <t>środki na dofinansowanie modernizacji przystani rybackiej w Gdyni Orłowie</t>
  </si>
  <si>
    <t xml:space="preserve">dotacja z WFOŚ i GW na dofinansowanie programu ograniczenia ruchu samochodowego na drogach na Półwysep Helski poprzez organizacje przewozów drogą morską (tramwaj wodny) </t>
  </si>
  <si>
    <t>funkcjonowanie punktu katechetycznego</t>
  </si>
  <si>
    <t>% wykonania (kol.12:5)</t>
  </si>
  <si>
    <t>wpływy ze sprzedaży biletów na "tramwaj wodny"</t>
  </si>
  <si>
    <t>Podatki i opłaty pobierane przez miasto</t>
  </si>
  <si>
    <t>Dochody z majątku miasta</t>
  </si>
  <si>
    <t>Dotacje od jednostek samorządu terytorialnego</t>
  </si>
  <si>
    <t>wpływy z tytułu przekształcenia użytkowania wieczystego na własność</t>
  </si>
  <si>
    <t>opłaty lokalne (opłata targowa i miejscowa)</t>
  </si>
  <si>
    <t>dofinansowanie "Programu wycieczek edukacyjnych dla dzieci i młodzieży do miejsc pamięci narodowej" Podróże historyczno - kulturowe w czasie i przestrzeni</t>
  </si>
  <si>
    <t>środki na dofinansowanie realizacji zadania "Boisko międzydzielnicowe z trawy sztucznej na terenie ZS nr 14</t>
  </si>
  <si>
    <t xml:space="preserve">50% zwrotów zaliczek alimentacyjnych </t>
  </si>
  <si>
    <t>Komenda Powiatowa Państwowej Straży Pożarnej (na zadania bieżące)</t>
  </si>
  <si>
    <t>Komenda Powiatowa Państwowej Straży Pożarnej (na zadania inwestycyjne)</t>
  </si>
  <si>
    <t>kredyt długoterminowy</t>
  </si>
  <si>
    <t>Plan 2007 rok (wg stanu na 31.12.07r)</t>
  </si>
  <si>
    <t xml:space="preserve">dotacja celowa z Samorządu Województwa Pomorskiego z przeznaczeniem na integrację lokalnego transportu zbiorowego w ramach Metropolitarnego Związku Komunikacyjnego Zatoki Gdańskiej  </t>
  </si>
  <si>
    <t>dotacja z Narodowego Centrum Kultury na realizację Ogólnopolskiego programu rozwoju chórów szkolnych Ministra Kultury i Dziedzictwa Narodowego "Śpiewająca Polska"</t>
  </si>
  <si>
    <t xml:space="preserve">dotacja z WFOŚ i GW na dofinansowanie zadania "Wykonanie Elektronicznej Mapy Akustycznej Miasta Gdyni (EMAMG) - etap I </t>
  </si>
  <si>
    <t>przeprowadzenie wykładów i ćwiczeń z matematyki, chemii i biologii dla uczniów VI Liceum Ogólnokształcącego w Gdyni</t>
  </si>
  <si>
    <t>dofinansowanie do programu opieki i terapii skierowanego na uczniów z niepłynnością mowy</t>
  </si>
  <si>
    <t>dofinansowanie monitoringu wizyjnego w szkołach</t>
  </si>
  <si>
    <t>dofinansowanie do Rządowego programu poprawy stanu bezpieczeństwa w szkołach i placówkach "Zero tolerancji dla przemocy w szkole"</t>
  </si>
  <si>
    <t>wykonanie za okres I - XI 2007r.</t>
  </si>
  <si>
    <t>środki na sygnalizację świetlną z Urzędu Miasta Gdańska</t>
  </si>
  <si>
    <t xml:space="preserve">Plan na 2008 rok </t>
  </si>
  <si>
    <t xml:space="preserve">  Przewidywane wykonanie 2007r.</t>
  </si>
  <si>
    <t>dynamika (kol.8:5)</t>
  </si>
  <si>
    <t>dotacja z Funduszu RozwojuKultury Fizycznej na dofinansowanie budowy krytej pływalni przy ZS Nr 7</t>
  </si>
  <si>
    <t>dotacje z Helu i Jastarni na dofinansowanie funkcjonowania "Tramwaju wodnego"</t>
  </si>
  <si>
    <t>Plan dochodów budżetu miasta Gdyni na 2008 rok wg źródeł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</si>
</sst>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yy\-mm\-dd"/>
    <numFmt numFmtId="168" formatCode="dd\-mmm\-yy"/>
    <numFmt numFmtId="169" formatCode="dd\-mmm"/>
    <numFmt numFmtId="170" formatCode="mmm\-yy"/>
    <numFmt numFmtId="171" formatCode="yy\-mm\-dd\ hh:mm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0.0000000000"/>
    <numFmt numFmtId="193" formatCode="_-* #,##0.000\ _z_ł_-;\-* #,##0.000\ _z_ł_-;_-* &quot;-&quot;??\ _z_ł_-;_-@_-"/>
    <numFmt numFmtId="194" formatCode="h:mm"/>
  </numFmts>
  <fonts count="28"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sz val="8"/>
      <name val="MS Sans Serif"/>
      <family val="2"/>
    </font>
    <font>
      <b/>
      <sz val="13"/>
      <name val="Arial CE"/>
      <family val="2"/>
    </font>
    <font>
      <i/>
      <sz val="8"/>
      <name val="Times New Roman"/>
      <family val="1"/>
    </font>
    <font>
      <sz val="8"/>
      <color indexed="1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i/>
      <sz val="8"/>
      <color indexed="10"/>
      <name val="Arial CE"/>
      <family val="2"/>
    </font>
    <font>
      <b/>
      <i/>
      <sz val="9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" fontId="0" fillId="0" borderId="0" xfId="19" applyNumberFormat="1" applyFont="1" applyFill="1" applyAlignment="1">
      <alignment horizontal="center" vertical="center"/>
      <protection/>
    </xf>
    <xf numFmtId="4" fontId="0" fillId="0" borderId="0" xfId="19" applyNumberFormat="1" applyFont="1" applyFill="1" applyAlignment="1">
      <alignment vertical="center"/>
      <protection/>
    </xf>
    <xf numFmtId="4" fontId="0" fillId="0" borderId="0" xfId="19" applyNumberFormat="1" applyFont="1" applyFill="1">
      <alignment/>
      <protection/>
    </xf>
    <xf numFmtId="4" fontId="0" fillId="0" borderId="0" xfId="19" applyNumberFormat="1" applyFont="1" applyFill="1" applyBorder="1" applyAlignment="1">
      <alignment vertical="center"/>
      <protection/>
    </xf>
    <xf numFmtId="1" fontId="5" fillId="0" borderId="1" xfId="19" applyNumberFormat="1" applyFont="1" applyFill="1" applyBorder="1" applyAlignment="1">
      <alignment horizontal="center" vertical="center" wrapText="1"/>
      <protection/>
    </xf>
    <xf numFmtId="1" fontId="5" fillId="0" borderId="0" xfId="19" applyNumberFormat="1" applyFont="1" applyFill="1">
      <alignment/>
      <protection/>
    </xf>
    <xf numFmtId="164" fontId="5" fillId="0" borderId="2" xfId="19" applyNumberFormat="1" applyFont="1" applyFill="1" applyBorder="1" applyAlignment="1">
      <alignment horizontal="center" vertical="center" wrapText="1"/>
      <protection/>
    </xf>
    <xf numFmtId="3" fontId="5" fillId="0" borderId="1" xfId="19" applyNumberFormat="1" applyFont="1" applyFill="1" applyBorder="1" applyAlignment="1">
      <alignment horizontal="center" vertical="center" wrapText="1"/>
      <protection/>
    </xf>
    <xf numFmtId="4" fontId="7" fillId="0" borderId="0" xfId="19" applyNumberFormat="1" applyFont="1" applyFill="1">
      <alignment/>
      <protection/>
    </xf>
    <xf numFmtId="3" fontId="10" fillId="0" borderId="3" xfId="19" applyNumberFormat="1" applyFont="1" applyFill="1" applyBorder="1" applyAlignment="1">
      <alignment vertical="center"/>
      <protection/>
    </xf>
    <xf numFmtId="4" fontId="5" fillId="0" borderId="0" xfId="19" applyNumberFormat="1" applyFont="1" applyFill="1" applyAlignment="1">
      <alignment vertical="center"/>
      <protection/>
    </xf>
    <xf numFmtId="3" fontId="6" fillId="0" borderId="1" xfId="19" applyNumberFormat="1" applyFont="1" applyFill="1" applyBorder="1" applyAlignment="1">
      <alignment vertical="center"/>
      <protection/>
    </xf>
    <xf numFmtId="4" fontId="8" fillId="0" borderId="0" xfId="19" applyNumberFormat="1" applyFont="1" applyFill="1" applyAlignment="1">
      <alignment vertical="center"/>
      <protection/>
    </xf>
    <xf numFmtId="4" fontId="9" fillId="0" borderId="0" xfId="19" applyNumberFormat="1" applyFont="1" applyFill="1" applyAlignment="1">
      <alignment vertical="center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3" fontId="0" fillId="0" borderId="1" xfId="18" applyNumberFormat="1" applyFont="1" applyFill="1" applyBorder="1" applyAlignment="1">
      <alignment vertical="center"/>
      <protection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3" fontId="0" fillId="0" borderId="1" xfId="19" applyNumberFormat="1" applyFont="1" applyFill="1" applyBorder="1" applyAlignment="1">
      <alignment horizontal="right" vertical="center" wrapText="1"/>
      <protection/>
    </xf>
    <xf numFmtId="0" fontId="0" fillId="0" borderId="0" xfId="18" applyFont="1" applyFill="1">
      <alignment/>
      <protection/>
    </xf>
    <xf numFmtId="0" fontId="0" fillId="0" borderId="0" xfId="18" applyFont="1" applyFill="1" applyAlignment="1">
      <alignment vertical="center"/>
      <protection/>
    </xf>
    <xf numFmtId="0" fontId="0" fillId="0" borderId="1" xfId="18" applyFont="1" applyFill="1" applyBorder="1" applyAlignment="1">
      <alignment vertical="center" wrapText="1"/>
      <protection/>
    </xf>
    <xf numFmtId="0" fontId="7" fillId="0" borderId="1" xfId="18" applyFont="1" applyFill="1" applyBorder="1" applyAlignment="1">
      <alignment vertical="center" wrapText="1"/>
      <protection/>
    </xf>
    <xf numFmtId="3" fontId="12" fillId="0" borderId="1" xfId="19" applyNumberFormat="1" applyFont="1" applyFill="1" applyBorder="1" applyAlignment="1">
      <alignment horizontal="right" vertical="center" wrapText="1"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7" fillId="0" borderId="0" xfId="18" applyFont="1" applyFill="1">
      <alignment/>
      <protection/>
    </xf>
    <xf numFmtId="0" fontId="7" fillId="0" borderId="0" xfId="18" applyFont="1" applyFill="1" applyAlignment="1">
      <alignment vertical="center"/>
      <protection/>
    </xf>
    <xf numFmtId="1" fontId="6" fillId="0" borderId="1" xfId="19" applyNumberFormat="1" applyFont="1" applyFill="1" applyBorder="1" applyAlignment="1">
      <alignment horizontal="center" vertical="center"/>
      <protection/>
    </xf>
    <xf numFmtId="4" fontId="6" fillId="0" borderId="1" xfId="19" applyNumberFormat="1" applyFont="1" applyFill="1" applyBorder="1" applyAlignment="1">
      <alignment horizontal="left" vertical="center" wrapText="1"/>
      <protection/>
    </xf>
    <xf numFmtId="4" fontId="6" fillId="0" borderId="1" xfId="19" applyNumberFormat="1" applyFont="1" applyFill="1" applyBorder="1" applyAlignment="1">
      <alignment vertical="center" wrapText="1"/>
      <protection/>
    </xf>
    <xf numFmtId="3" fontId="6" fillId="0" borderId="1" xfId="19" applyNumberFormat="1" applyFont="1" applyFill="1" applyBorder="1" applyAlignment="1">
      <alignment horizontal="right" vertical="center" wrapText="1"/>
      <protection/>
    </xf>
    <xf numFmtId="4" fontId="0" fillId="0" borderId="1" xfId="19" applyNumberFormat="1" applyFont="1" applyFill="1" applyBorder="1" applyAlignment="1">
      <alignment vertical="center" wrapText="1"/>
      <protection/>
    </xf>
    <xf numFmtId="0" fontId="14" fillId="0" borderId="1" xfId="18" applyFont="1" applyFill="1" applyBorder="1" applyAlignment="1">
      <alignment horizontal="left" vertical="center" wrapText="1"/>
      <protection/>
    </xf>
    <xf numFmtId="3" fontId="0" fillId="0" borderId="1" xfId="19" applyNumberFormat="1" applyFont="1" applyFill="1" applyBorder="1" applyAlignment="1">
      <alignment vertical="center"/>
      <protection/>
    </xf>
    <xf numFmtId="4" fontId="12" fillId="0" borderId="0" xfId="19" applyNumberFormat="1" applyFont="1" applyFill="1">
      <alignment/>
      <protection/>
    </xf>
    <xf numFmtId="0" fontId="14" fillId="0" borderId="1" xfId="18" applyFont="1" applyFill="1" applyBorder="1" applyAlignment="1">
      <alignment vertical="center" wrapText="1"/>
      <protection/>
    </xf>
    <xf numFmtId="4" fontId="0" fillId="0" borderId="1" xfId="19" applyNumberFormat="1" applyFont="1" applyFill="1" applyBorder="1" applyAlignment="1">
      <alignment horizontal="left" vertical="center" wrapText="1"/>
      <protection/>
    </xf>
    <xf numFmtId="4" fontId="0" fillId="0" borderId="0" xfId="19" applyNumberFormat="1" applyFont="1" applyFill="1" applyBorder="1">
      <alignment/>
      <protection/>
    </xf>
    <xf numFmtId="0" fontId="14" fillId="0" borderId="1" xfId="18" applyFont="1" applyFill="1" applyBorder="1" applyAlignment="1">
      <alignment horizontal="left" vertical="center" wrapText="1"/>
      <protection/>
    </xf>
    <xf numFmtId="4" fontId="12" fillId="0" borderId="0" xfId="19" applyNumberFormat="1" applyFont="1" applyFill="1" applyAlignment="1">
      <alignment vertical="center"/>
      <protection/>
    </xf>
    <xf numFmtId="3" fontId="10" fillId="0" borderId="1" xfId="19" applyNumberFormat="1" applyFont="1" applyFill="1" applyBorder="1" applyAlignment="1">
      <alignment vertical="center"/>
      <protection/>
    </xf>
    <xf numFmtId="3" fontId="10" fillId="0" borderId="1" xfId="19" applyNumberFormat="1" applyFont="1" applyFill="1" applyBorder="1" applyAlignment="1">
      <alignment horizontal="right" vertical="center" wrapText="1"/>
      <protection/>
    </xf>
    <xf numFmtId="4" fontId="7" fillId="0" borderId="0" xfId="19" applyNumberFormat="1" applyFont="1" applyFill="1" applyAlignment="1">
      <alignment vertical="center"/>
      <protection/>
    </xf>
    <xf numFmtId="3" fontId="6" fillId="0" borderId="1" xfId="19" applyNumberFormat="1" applyFont="1" applyFill="1" applyBorder="1" applyAlignment="1">
      <alignment horizontal="left" vertical="center" wrapText="1"/>
      <protection/>
    </xf>
    <xf numFmtId="3" fontId="5" fillId="0" borderId="0" xfId="19" applyNumberFormat="1" applyFont="1" applyFill="1" applyAlignment="1">
      <alignment vertical="center"/>
      <protection/>
    </xf>
    <xf numFmtId="1" fontId="0" fillId="0" borderId="1" xfId="19" applyNumberFormat="1" applyFont="1" applyFill="1" applyBorder="1" applyAlignment="1">
      <alignment vertical="center" wrapText="1"/>
      <protection/>
    </xf>
    <xf numFmtId="1" fontId="0" fillId="0" borderId="1" xfId="19" applyNumberFormat="1" applyFont="1" applyFill="1" applyBorder="1" applyAlignment="1">
      <alignment horizontal="left" vertical="center" wrapText="1"/>
      <protection/>
    </xf>
    <xf numFmtId="1" fontId="7" fillId="0" borderId="1" xfId="19" applyNumberFormat="1" applyFont="1" applyFill="1" applyBorder="1" applyAlignment="1">
      <alignment horizontal="right" vertical="center" wrapText="1"/>
      <protection/>
    </xf>
    <xf numFmtId="3" fontId="6" fillId="0" borderId="1" xfId="18" applyNumberFormat="1" applyFont="1" applyFill="1" applyBorder="1" applyAlignment="1">
      <alignment vertical="center"/>
      <protection/>
    </xf>
    <xf numFmtId="0" fontId="7" fillId="0" borderId="1" xfId="18" applyFont="1" applyFill="1" applyBorder="1" applyAlignment="1">
      <alignment horizontal="right" vertical="center" wrapText="1"/>
      <protection/>
    </xf>
    <xf numFmtId="4" fontId="0" fillId="0" borderId="0" xfId="19" applyNumberFormat="1" applyFont="1" applyFill="1" applyBorder="1" applyAlignment="1">
      <alignment vertical="center" wrapText="1"/>
      <protection/>
    </xf>
    <xf numFmtId="1" fontId="5" fillId="0" borderId="1" xfId="19" applyNumberFormat="1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horizontal="center" vertical="center"/>
      <protection/>
    </xf>
    <xf numFmtId="0" fontId="12" fillId="0" borderId="1" xfId="18" applyFont="1" applyFill="1" applyBorder="1" applyAlignment="1">
      <alignment horizontal="center" vertical="center"/>
      <protection/>
    </xf>
    <xf numFmtId="1" fontId="7" fillId="0" borderId="1" xfId="19" applyNumberFormat="1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1" fontId="0" fillId="0" borderId="1" xfId="19" applyNumberFormat="1" applyFont="1" applyFill="1" applyBorder="1" applyAlignment="1">
      <alignment horizontal="center" vertical="center"/>
      <protection/>
    </xf>
    <xf numFmtId="1" fontId="12" fillId="0" borderId="1" xfId="19" applyNumberFormat="1" applyFont="1" applyFill="1" applyBorder="1" applyAlignment="1">
      <alignment horizontal="center" vertical="center"/>
      <protection/>
    </xf>
    <xf numFmtId="3" fontId="6" fillId="0" borderId="1" xfId="19" applyNumberFormat="1" applyFont="1" applyFill="1" applyBorder="1" applyAlignment="1">
      <alignment horizontal="center" vertical="center"/>
      <protection/>
    </xf>
    <xf numFmtId="4" fontId="0" fillId="0" borderId="1" xfId="19" applyNumberFormat="1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vertical="center" wrapText="1"/>
      <protection/>
    </xf>
    <xf numFmtId="0" fontId="7" fillId="0" borderId="0" xfId="18" applyFont="1" applyFill="1" applyAlignment="1">
      <alignment vertical="center"/>
      <protection/>
    </xf>
    <xf numFmtId="4" fontId="0" fillId="0" borderId="1" xfId="19" applyNumberFormat="1" applyFont="1" applyFill="1" applyBorder="1" applyAlignment="1">
      <alignment vertical="center"/>
      <protection/>
    </xf>
    <xf numFmtId="0" fontId="16" fillId="0" borderId="1" xfId="18" applyFont="1" applyFill="1" applyBorder="1" applyAlignment="1">
      <alignment horizontal="right" vertical="center" wrapText="1"/>
      <protection/>
    </xf>
    <xf numFmtId="1" fontId="16" fillId="0" borderId="1" xfId="19" applyNumberFormat="1" applyFont="1" applyFill="1" applyBorder="1" applyAlignment="1">
      <alignment horizontal="right" vertical="center" wrapText="1"/>
      <protection/>
    </xf>
    <xf numFmtId="3" fontId="13" fillId="0" borderId="1" xfId="19" applyNumberFormat="1" applyFont="1" applyFill="1" applyBorder="1" applyAlignment="1">
      <alignment vertical="center"/>
      <protection/>
    </xf>
    <xf numFmtId="3" fontId="12" fillId="0" borderId="1" xfId="19" applyNumberFormat="1" applyFont="1" applyFill="1" applyBorder="1" applyAlignment="1">
      <alignment horizontal="center" vertical="center"/>
      <protection/>
    </xf>
    <xf numFmtId="3" fontId="13" fillId="0" borderId="1" xfId="19" applyNumberFormat="1" applyFont="1" applyFill="1" applyBorder="1" applyAlignment="1">
      <alignment horizontal="left" vertical="center" wrapText="1"/>
      <protection/>
    </xf>
    <xf numFmtId="3" fontId="17" fillId="0" borderId="1" xfId="19" applyNumberFormat="1" applyFont="1" applyFill="1" applyBorder="1" applyAlignment="1">
      <alignment horizontal="right" vertical="center" wrapText="1"/>
      <protection/>
    </xf>
    <xf numFmtId="3" fontId="17" fillId="0" borderId="1" xfId="18" applyNumberFormat="1" applyFont="1" applyFill="1" applyBorder="1" applyAlignment="1">
      <alignment vertical="center"/>
      <protection/>
    </xf>
    <xf numFmtId="3" fontId="12" fillId="0" borderId="0" xfId="19" applyNumberFormat="1" applyFont="1" applyFill="1">
      <alignment/>
      <protection/>
    </xf>
    <xf numFmtId="3" fontId="19" fillId="0" borderId="3" xfId="19" applyNumberFormat="1" applyFont="1" applyFill="1" applyBorder="1" applyAlignment="1">
      <alignment horizontal="right" vertical="center" wrapText="1"/>
      <protection/>
    </xf>
    <xf numFmtId="3" fontId="20" fillId="0" borderId="0" xfId="19" applyNumberFormat="1" applyFont="1" applyFill="1" applyAlignment="1">
      <alignment horizontal="center" vertical="center" wrapText="1"/>
      <protection/>
    </xf>
    <xf numFmtId="3" fontId="0" fillId="2" borderId="1" xfId="19" applyNumberFormat="1" applyFont="1" applyFill="1" applyBorder="1" applyAlignment="1">
      <alignment horizontal="right" vertical="center" wrapText="1"/>
      <protection/>
    </xf>
    <xf numFmtId="3" fontId="19" fillId="0" borderId="1" xfId="19" applyNumberFormat="1" applyFont="1" applyFill="1" applyBorder="1" applyAlignment="1">
      <alignment horizontal="right" vertical="center" wrapText="1"/>
      <protection/>
    </xf>
    <xf numFmtId="164" fontId="21" fillId="0" borderId="2" xfId="19" applyNumberFormat="1" applyFont="1" applyFill="1" applyBorder="1" applyAlignment="1">
      <alignment horizontal="center" vertical="center" wrapText="1"/>
      <protection/>
    </xf>
    <xf numFmtId="4" fontId="22" fillId="0" borderId="1" xfId="19" applyNumberFormat="1" applyFont="1" applyFill="1" applyBorder="1" applyAlignment="1">
      <alignment horizontal="left" vertical="center" wrapText="1"/>
      <protection/>
    </xf>
    <xf numFmtId="3" fontId="25" fillId="0" borderId="1" xfId="19" applyNumberFormat="1" applyFont="1" applyFill="1" applyBorder="1" applyAlignment="1">
      <alignment vertical="center"/>
      <protection/>
    </xf>
    <xf numFmtId="3" fontId="26" fillId="0" borderId="1" xfId="19" applyNumberFormat="1" applyFont="1" applyFill="1" applyBorder="1" applyAlignment="1">
      <alignment horizontal="right" vertical="center" wrapText="1"/>
      <protection/>
    </xf>
    <xf numFmtId="3" fontId="17" fillId="0" borderId="1" xfId="19" applyNumberFormat="1" applyFont="1" applyFill="1" applyBorder="1" applyAlignment="1">
      <alignment vertical="center"/>
      <protection/>
    </xf>
    <xf numFmtId="3" fontId="25" fillId="0" borderId="1" xfId="19" applyNumberFormat="1" applyFont="1" applyFill="1" applyBorder="1" applyAlignment="1">
      <alignment horizontal="right" vertical="center" wrapText="1"/>
      <protection/>
    </xf>
    <xf numFmtId="3" fontId="24" fillId="0" borderId="1" xfId="19" applyNumberFormat="1" applyFont="1" applyFill="1" applyBorder="1" applyAlignment="1">
      <alignment vertical="center"/>
      <protection/>
    </xf>
    <xf numFmtId="3" fontId="23" fillId="0" borderId="1" xfId="19" applyNumberFormat="1" applyFont="1" applyFill="1" applyBorder="1" applyAlignment="1">
      <alignment horizontal="right" vertical="center" wrapText="1"/>
      <protection/>
    </xf>
    <xf numFmtId="3" fontId="0" fillId="0" borderId="1" xfId="19" applyNumberFormat="1" applyFont="1" applyFill="1" applyBorder="1" applyAlignment="1">
      <alignment horizontal="right" vertical="center" wrapText="1"/>
      <protection/>
    </xf>
    <xf numFmtId="3" fontId="17" fillId="0" borderId="0" xfId="19" applyNumberFormat="1" applyFont="1" applyFill="1" applyAlignment="1">
      <alignment vertical="center"/>
      <protection/>
    </xf>
    <xf numFmtId="3" fontId="17" fillId="0" borderId="0" xfId="18" applyNumberFormat="1" applyFont="1" applyFill="1">
      <alignment/>
      <protection/>
    </xf>
    <xf numFmtId="0" fontId="0" fillId="3" borderId="0" xfId="18" applyFont="1" applyFill="1">
      <alignment/>
      <protection/>
    </xf>
    <xf numFmtId="3" fontId="0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>
      <alignment/>
      <protection/>
    </xf>
    <xf numFmtId="4" fontId="0" fillId="0" borderId="1" xfId="19" applyNumberFormat="1" applyFont="1" applyFill="1" applyBorder="1" applyAlignment="1">
      <alignment horizontal="right" vertical="center" wrapText="1"/>
      <protection/>
    </xf>
    <xf numFmtId="164" fontId="21" fillId="0" borderId="1" xfId="19" applyNumberFormat="1" applyFont="1" applyFill="1" applyBorder="1" applyAlignment="1">
      <alignment horizontal="center" vertical="center" wrapText="1"/>
      <protection/>
    </xf>
    <xf numFmtId="0" fontId="0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164" fontId="21" fillId="0" borderId="2" xfId="19" applyNumberFormat="1" applyFont="1" applyFill="1" applyBorder="1" applyAlignment="1">
      <alignment horizontal="center" vertical="center" wrapText="1"/>
      <protection/>
    </xf>
    <xf numFmtId="164" fontId="21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18" applyFont="1" applyFill="1">
      <alignment/>
      <protection/>
    </xf>
    <xf numFmtId="0" fontId="0" fillId="0" borderId="1" xfId="18" applyFont="1" applyFill="1" applyBorder="1" applyAlignment="1">
      <alignment vertical="center" wrapText="1"/>
      <protection/>
    </xf>
    <xf numFmtId="0" fontId="0" fillId="0" borderId="0" xfId="18" applyFont="1" applyFill="1" applyAlignment="1">
      <alignment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0" fontId="0" fillId="0" borderId="0" xfId="18" applyFont="1" applyFill="1" applyAlignment="1">
      <alignment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4" fontId="0" fillId="0" borderId="1" xfId="19" applyNumberFormat="1" applyFont="1" applyFill="1" applyBorder="1" applyAlignment="1">
      <alignment horizontal="left" vertical="center" wrapText="1"/>
      <protection/>
    </xf>
    <xf numFmtId="1" fontId="0" fillId="0" borderId="1" xfId="19" applyNumberFormat="1" applyFont="1" applyFill="1" applyBorder="1" applyAlignment="1">
      <alignment horizontal="center" vertical="center"/>
      <protection/>
    </xf>
    <xf numFmtId="4" fontId="0" fillId="0" borderId="1" xfId="19" applyNumberFormat="1" applyFont="1" applyFill="1" applyBorder="1" applyAlignment="1">
      <alignment vertical="center" wrapText="1"/>
      <protection/>
    </xf>
    <xf numFmtId="4" fontId="0" fillId="0" borderId="0" xfId="19" applyNumberFormat="1" applyFont="1" applyFill="1">
      <alignment/>
      <protection/>
    </xf>
    <xf numFmtId="0" fontId="7" fillId="4" borderId="0" xfId="18" applyFont="1" applyFill="1" applyAlignment="1">
      <alignment vertical="center"/>
      <protection/>
    </xf>
    <xf numFmtId="9" fontId="0" fillId="0" borderId="1" xfId="18" applyNumberFormat="1" applyFont="1" applyFill="1" applyBorder="1" applyAlignment="1">
      <alignment vertical="center" wrapText="1"/>
      <protection/>
    </xf>
    <xf numFmtId="3" fontId="27" fillId="0" borderId="1" xfId="19" applyNumberFormat="1" applyFont="1" applyFill="1" applyBorder="1" applyAlignment="1">
      <alignment vertical="center"/>
      <protection/>
    </xf>
    <xf numFmtId="0" fontId="17" fillId="0" borderId="0" xfId="0" applyFont="1" applyAlignment="1">
      <alignment/>
    </xf>
    <xf numFmtId="164" fontId="5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17" fillId="2" borderId="1" xfId="19" applyNumberFormat="1" applyFont="1" applyFill="1" applyBorder="1" applyAlignment="1">
      <alignment horizontal="right" vertical="center" wrapText="1"/>
      <protection/>
    </xf>
    <xf numFmtId="4" fontId="6" fillId="0" borderId="1" xfId="19" applyNumberFormat="1" applyFont="1" applyFill="1" applyBorder="1" applyAlignment="1">
      <alignment horizontal="right" vertical="center" wrapText="1"/>
      <protection/>
    </xf>
    <xf numFmtId="4" fontId="26" fillId="2" borderId="1" xfId="19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3" fontId="17" fillId="4" borderId="1" xfId="19" applyNumberFormat="1" applyFont="1" applyFill="1" applyBorder="1" applyAlignment="1">
      <alignment vertical="center"/>
      <protection/>
    </xf>
    <xf numFmtId="4" fontId="15" fillId="0" borderId="4" xfId="19" applyNumberFormat="1" applyFont="1" applyFill="1" applyBorder="1" applyAlignment="1">
      <alignment horizontal="center" vertical="center" wrapText="1"/>
      <protection/>
    </xf>
    <xf numFmtId="1" fontId="6" fillId="0" borderId="5" xfId="19" applyNumberFormat="1" applyFont="1" applyFill="1" applyBorder="1" applyAlignment="1">
      <alignment horizontal="center" vertical="center" wrapText="1"/>
      <protection/>
    </xf>
    <xf numFmtId="1" fontId="6" fillId="0" borderId="6" xfId="19" applyNumberFormat="1" applyFont="1" applyFill="1" applyBorder="1" applyAlignment="1">
      <alignment horizontal="center" vertical="center" wrapText="1"/>
      <protection/>
    </xf>
    <xf numFmtId="1" fontId="6" fillId="0" borderId="3" xfId="19" applyNumberFormat="1" applyFont="1" applyFill="1" applyBorder="1" applyAlignment="1">
      <alignment horizontal="center" vertical="center" wrapText="1"/>
      <protection/>
    </xf>
    <xf numFmtId="1" fontId="6" fillId="0" borderId="1" xfId="19" applyNumberFormat="1" applyFont="1" applyFill="1" applyBorder="1" applyAlignment="1">
      <alignment horizontal="center" vertical="center" wrapText="1"/>
      <protection/>
    </xf>
    <xf numFmtId="4" fontId="5" fillId="0" borderId="1" xfId="19" applyNumberFormat="1" applyFont="1" applyFill="1" applyBorder="1" applyAlignment="1">
      <alignment horizontal="center" vertical="center" wrapText="1"/>
      <protection/>
    </xf>
    <xf numFmtId="0" fontId="11" fillId="0" borderId="1" xfId="18" applyFont="1" applyFill="1" applyBorder="1" applyAlignment="1">
      <alignment horizontal="center" vertical="center" wrapText="1"/>
      <protection/>
    </xf>
    <xf numFmtId="4" fontId="18" fillId="0" borderId="5" xfId="19" applyNumberFormat="1" applyFont="1" applyFill="1" applyBorder="1" applyAlignment="1">
      <alignment horizontal="center" vertical="center" wrapText="1"/>
      <protection/>
    </xf>
    <xf numFmtId="4" fontId="18" fillId="0" borderId="3" xfId="19" applyNumberFormat="1" applyFont="1" applyFill="1" applyBorder="1" applyAlignment="1">
      <alignment horizontal="center" vertical="center" wrapText="1"/>
      <protection/>
    </xf>
    <xf numFmtId="4" fontId="11" fillId="0" borderId="1" xfId="19" applyNumberFormat="1" applyFont="1" applyFill="1" applyBorder="1" applyAlignment="1">
      <alignment horizontal="left" vertical="center" wrapText="1"/>
      <protection/>
    </xf>
    <xf numFmtId="4" fontId="5" fillId="0" borderId="1" xfId="19" applyNumberFormat="1" applyFont="1" applyFill="1" applyBorder="1" applyAlignment="1">
      <alignment horizontal="left" vertical="center" wrapText="1"/>
      <protection/>
    </xf>
    <xf numFmtId="1" fontId="11" fillId="0" borderId="1" xfId="19" applyNumberFormat="1" applyFont="1" applyFill="1" applyBorder="1" applyAlignment="1">
      <alignment horizontal="left" vertical="center" wrapText="1"/>
      <protection/>
    </xf>
    <xf numFmtId="1" fontId="5" fillId="0" borderId="1" xfId="19" applyNumberFormat="1" applyFont="1" applyFill="1" applyBorder="1" applyAlignment="1">
      <alignment horizontal="center" vertical="center" wrapText="1"/>
      <protection/>
    </xf>
    <xf numFmtId="1" fontId="6" fillId="0" borderId="7" xfId="19" applyNumberFormat="1" applyFont="1" applyFill="1" applyBorder="1" applyAlignment="1">
      <alignment horizontal="center" vertical="center" wrapText="1"/>
      <protection/>
    </xf>
    <xf numFmtId="1" fontId="6" fillId="0" borderId="2" xfId="19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B_99" xfId="18"/>
    <cellStyle name="Normalny_d_stawkimax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1"/>
  <sheetViews>
    <sheetView tabSelected="1" workbookViewId="0" topLeftCell="A1">
      <pane ySplit="4" topLeftCell="BM197" activePane="bottomLeft" state="frozen"/>
      <selection pane="topLeft" activeCell="A1" sqref="A1"/>
      <selection pane="bottomLeft" activeCell="B212" sqref="B212"/>
    </sheetView>
  </sheetViews>
  <sheetFormatPr defaultColWidth="9.140625" defaultRowHeight="12"/>
  <cols>
    <col min="1" max="1" width="5.140625" style="0" customWidth="1"/>
    <col min="2" max="2" width="34.421875" style="118" customWidth="1"/>
    <col min="3" max="4" width="17.421875" style="114" hidden="1" customWidth="1"/>
    <col min="5" max="5" width="18.421875" style="114" hidden="1" customWidth="1"/>
    <col min="6" max="6" width="17.7109375" style="112" hidden="1" customWidth="1"/>
    <col min="7" max="7" width="17.421875" style="112" hidden="1" customWidth="1"/>
    <col min="8" max="8" width="18.00390625" style="0" hidden="1" customWidth="1"/>
    <col min="9" max="9" width="11.421875" style="0" hidden="1" customWidth="1"/>
    <col min="10" max="10" width="18.421875" style="118" customWidth="1"/>
    <col min="11" max="11" width="18.140625" style="118" customWidth="1"/>
    <col min="12" max="12" width="19.7109375" style="118" customWidth="1"/>
    <col min="13" max="13" width="15.140625" style="0" hidden="1" customWidth="1"/>
    <col min="14" max="14" width="19.421875" style="118" customWidth="1"/>
    <col min="15" max="15" width="19.7109375" style="118" customWidth="1"/>
    <col min="16" max="16" width="20.140625" style="118" customWidth="1"/>
    <col min="17" max="17" width="10.00390625" style="118" customWidth="1"/>
    <col min="18" max="43" width="9.28125" style="118" customWidth="1"/>
  </cols>
  <sheetData>
    <row r="1" spans="1:17" s="4" customFormat="1" ht="34.5" customHeight="1">
      <c r="A1" s="120" t="s">
        <v>208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s="6" customFormat="1" ht="12.75" customHeight="1">
      <c r="A2" s="132" t="s">
        <v>0</v>
      </c>
      <c r="B2" s="125" t="s">
        <v>154</v>
      </c>
      <c r="C2" s="121" t="s">
        <v>193</v>
      </c>
      <c r="D2" s="122"/>
      <c r="E2" s="123"/>
      <c r="F2" s="124" t="s">
        <v>201</v>
      </c>
      <c r="G2" s="124"/>
      <c r="H2" s="124"/>
      <c r="I2" s="133" t="s">
        <v>156</v>
      </c>
      <c r="J2" s="124" t="s">
        <v>204</v>
      </c>
      <c r="K2" s="124"/>
      <c r="L2" s="124"/>
      <c r="M2" s="133" t="s">
        <v>180</v>
      </c>
      <c r="N2" s="124" t="s">
        <v>203</v>
      </c>
      <c r="O2" s="124"/>
      <c r="P2" s="124"/>
      <c r="Q2" s="133" t="s">
        <v>205</v>
      </c>
    </row>
    <row r="3" spans="1:17" s="90" customFormat="1" ht="12" customHeight="1">
      <c r="A3" s="132"/>
      <c r="B3" s="125"/>
      <c r="C3" s="5" t="s">
        <v>1</v>
      </c>
      <c r="D3" s="5" t="s">
        <v>2</v>
      </c>
      <c r="E3" s="5" t="s">
        <v>3</v>
      </c>
      <c r="F3" s="8" t="s">
        <v>1</v>
      </c>
      <c r="G3" s="8" t="s">
        <v>2</v>
      </c>
      <c r="H3" s="8" t="s">
        <v>3</v>
      </c>
      <c r="I3" s="134"/>
      <c r="J3" s="8" t="s">
        <v>1</v>
      </c>
      <c r="K3" s="8" t="s">
        <v>2</v>
      </c>
      <c r="L3" s="8" t="s">
        <v>3</v>
      </c>
      <c r="M3" s="134"/>
      <c r="N3" s="8" t="s">
        <v>1</v>
      </c>
      <c r="O3" s="8" t="s">
        <v>2</v>
      </c>
      <c r="P3" s="8" t="s">
        <v>3</v>
      </c>
      <c r="Q3" s="134"/>
    </row>
    <row r="4" spans="1:17" s="9" customFormat="1" ht="9" customHeight="1">
      <c r="A4" s="51">
        <v>1</v>
      </c>
      <c r="B4" s="27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3</v>
      </c>
      <c r="K4" s="8">
        <v>4</v>
      </c>
      <c r="L4" s="8">
        <v>5</v>
      </c>
      <c r="M4" s="8">
        <v>13</v>
      </c>
      <c r="N4" s="8">
        <v>6</v>
      </c>
      <c r="O4" s="8">
        <v>7</v>
      </c>
      <c r="P4" s="8">
        <v>8</v>
      </c>
      <c r="Q4" s="8">
        <v>9</v>
      </c>
    </row>
    <row r="5" spans="1:17" s="74" customFormat="1" ht="15.75">
      <c r="A5" s="127" t="s">
        <v>4</v>
      </c>
      <c r="B5" s="128"/>
      <c r="C5" s="73">
        <f>SUM(C6,C134,C139)</f>
        <v>660917087</v>
      </c>
      <c r="D5" s="73">
        <f>SUM(D6,D134,D139)</f>
        <v>313952970</v>
      </c>
      <c r="E5" s="76">
        <f>SUM(C5:D5)</f>
        <v>974870057</v>
      </c>
      <c r="F5" s="73">
        <f>SUM(F6,F134,F139)</f>
        <v>621574143.3</v>
      </c>
      <c r="G5" s="73">
        <f>SUM(G6,G134,G139)</f>
        <v>268473136.42</v>
      </c>
      <c r="H5" s="73">
        <f>SUM(H6,H134,H139)</f>
        <v>890047279.72</v>
      </c>
      <c r="I5" s="77">
        <f aca="true" t="shared" si="0" ref="I5:I68">H5/E5</f>
        <v>0.9129906835573267</v>
      </c>
      <c r="J5" s="73">
        <f>SUM(J6,J134,J139)</f>
        <v>674114371.7</v>
      </c>
      <c r="K5" s="73">
        <f>SUM(K6,K134,K139)</f>
        <v>324769878.75</v>
      </c>
      <c r="L5" s="76">
        <f>SUM(J5:K5)</f>
        <v>998884250.45</v>
      </c>
      <c r="M5" s="7">
        <f aca="true" t="shared" si="1" ref="M5:M68">L5/E5</f>
        <v>1.0246332249899024</v>
      </c>
      <c r="N5" s="73">
        <f>SUM(N6,N134,N139)</f>
        <v>654505467</v>
      </c>
      <c r="O5" s="73">
        <f>SUM(O6,O134,O139)</f>
        <v>229954383</v>
      </c>
      <c r="P5" s="76">
        <f>SUM(N5:O5)</f>
        <v>884459850</v>
      </c>
      <c r="Q5" s="92">
        <f>P5/L5</f>
        <v>0.8854477879709771</v>
      </c>
    </row>
    <row r="6" spans="1:17" s="11" customFormat="1" ht="12.75">
      <c r="A6" s="129" t="s">
        <v>115</v>
      </c>
      <c r="B6" s="130"/>
      <c r="C6" s="10">
        <f>SUM(C7,C22,C27,C37,C85,C106,C67,C131)</f>
        <v>532156255</v>
      </c>
      <c r="D6" s="10">
        <f>SUM(D7,D22,D27,D37,D85,D106,D67,D131)</f>
        <v>225619018</v>
      </c>
      <c r="E6" s="10">
        <f>SUM(C6:D6)</f>
        <v>757775273</v>
      </c>
      <c r="F6" s="10">
        <f>SUM(F7,F22,F27,F37,F85,F106,F67,F131)</f>
        <v>497776183.3</v>
      </c>
      <c r="G6" s="10">
        <f>SUM(G7,G22,G27,G37,G85,G106,G67,G131)</f>
        <v>181609073.42000002</v>
      </c>
      <c r="H6" s="10">
        <f>SUM(F6:G6)</f>
        <v>679385256.72</v>
      </c>
      <c r="I6" s="77">
        <f t="shared" si="0"/>
        <v>0.8965524225016511</v>
      </c>
      <c r="J6" s="10">
        <f>SUM(J7,J22,J27,J37,J85,J106,J67,J131)</f>
        <v>545350539.7</v>
      </c>
      <c r="K6" s="10">
        <f>SUM(K7,K22,K27,K37,K85,K106,K67,K131)</f>
        <v>236433905.75</v>
      </c>
      <c r="L6" s="10">
        <f>SUM(J6:K6)</f>
        <v>781784445.45</v>
      </c>
      <c r="M6" s="7">
        <f t="shared" si="1"/>
        <v>1.0316837633866685</v>
      </c>
      <c r="N6" s="10">
        <f>SUM(N7,N22,N27,N37,N85,N106,N67,N131)</f>
        <v>529522078</v>
      </c>
      <c r="O6" s="10">
        <f>SUM(O7,O22,O27,O37,O85,O106,O67,O131)</f>
        <v>139443567</v>
      </c>
      <c r="P6" s="10">
        <f>SUM(N6:O6)</f>
        <v>668965645</v>
      </c>
      <c r="Q6" s="92">
        <f>P6/L6</f>
        <v>0.8556906560285158</v>
      </c>
    </row>
    <row r="7" spans="1:17" s="14" customFormat="1" ht="24">
      <c r="A7" s="27">
        <v>1</v>
      </c>
      <c r="B7" s="29" t="s">
        <v>182</v>
      </c>
      <c r="C7" s="12">
        <f>SUM(C8:C21)</f>
        <v>113793750</v>
      </c>
      <c r="D7" s="12">
        <f>SUM(D8:D21)</f>
        <v>5120000</v>
      </c>
      <c r="E7" s="12">
        <f>SUM(C7:D7)</f>
        <v>118913750</v>
      </c>
      <c r="F7" s="12">
        <f>SUM(F8:F21)</f>
        <v>103918492.97000001</v>
      </c>
      <c r="G7" s="12">
        <f>SUM(G8:G21)</f>
        <v>4808684.91</v>
      </c>
      <c r="H7" s="12">
        <f>SUM(F7:G7)</f>
        <v>108727177.88000001</v>
      </c>
      <c r="I7" s="77">
        <f t="shared" si="0"/>
        <v>0.9143364655475082</v>
      </c>
      <c r="J7" s="12">
        <f>SUM(J8:J21)</f>
        <v>114832769</v>
      </c>
      <c r="K7" s="12">
        <f>SUM(K8:K21)</f>
        <v>5120000</v>
      </c>
      <c r="L7" s="12">
        <f>SUM(J7:K7)</f>
        <v>119952769</v>
      </c>
      <c r="M7" s="7">
        <f t="shared" si="1"/>
        <v>1.0087375850143487</v>
      </c>
      <c r="N7" s="12">
        <f>SUM(N8:N21)</f>
        <v>117014217</v>
      </c>
      <c r="O7" s="12">
        <f>SUM(O8:O21)</f>
        <v>5100000</v>
      </c>
      <c r="P7" s="12">
        <f>SUM(N7:O7)</f>
        <v>122114217</v>
      </c>
      <c r="Q7" s="92">
        <f aca="true" t="shared" si="2" ref="Q7:Q70">P7/L7</f>
        <v>1.0180191588574332</v>
      </c>
    </row>
    <row r="8" spans="1:17" s="19" customFormat="1" ht="11.25">
      <c r="A8" s="52"/>
      <c r="B8" s="15" t="s">
        <v>5</v>
      </c>
      <c r="C8" s="18">
        <f>81000000+14000000</f>
        <v>95000000</v>
      </c>
      <c r="D8" s="18">
        <v>0</v>
      </c>
      <c r="E8" s="17">
        <f aca="true" t="shared" si="3" ref="E8:E72">SUM(C8:D8)</f>
        <v>95000000</v>
      </c>
      <c r="F8" s="18">
        <v>85995282.9</v>
      </c>
      <c r="G8" s="18">
        <v>0</v>
      </c>
      <c r="H8" s="17">
        <f aca="true" t="shared" si="4" ref="H8:H72">SUM(F8:G8)</f>
        <v>85995282.9</v>
      </c>
      <c r="I8" s="77">
        <f t="shared" si="0"/>
        <v>0.9052135042105264</v>
      </c>
      <c r="J8" s="18">
        <f>81000000+14000000+1000000</f>
        <v>96000000</v>
      </c>
      <c r="K8" s="18">
        <v>0</v>
      </c>
      <c r="L8" s="17">
        <f aca="true" t="shared" si="5" ref="L8:L72">SUM(J8:K8)</f>
        <v>96000000</v>
      </c>
      <c r="M8" s="7">
        <f t="shared" si="1"/>
        <v>1.0105263157894737</v>
      </c>
      <c r="N8" s="18">
        <f>83000000+14700000+1000000</f>
        <v>98700000</v>
      </c>
      <c r="O8" s="18">
        <v>0</v>
      </c>
      <c r="P8" s="17">
        <f aca="true" t="shared" si="6" ref="P8:P72">SUM(N8:O8)</f>
        <v>98700000</v>
      </c>
      <c r="Q8" s="92">
        <f t="shared" si="2"/>
        <v>1.028125</v>
      </c>
    </row>
    <row r="9" spans="1:17" s="19" customFormat="1" ht="13.5" customHeight="1">
      <c r="A9" s="52"/>
      <c r="B9" s="15" t="s">
        <v>6</v>
      </c>
      <c r="C9" s="18">
        <f>4200000+2200000</f>
        <v>6400000</v>
      </c>
      <c r="D9" s="18">
        <v>0</v>
      </c>
      <c r="E9" s="17">
        <f t="shared" si="3"/>
        <v>6400000</v>
      </c>
      <c r="F9" s="18">
        <v>7299350.93</v>
      </c>
      <c r="G9" s="18">
        <v>0</v>
      </c>
      <c r="H9" s="17">
        <f t="shared" si="4"/>
        <v>7299350.93</v>
      </c>
      <c r="I9" s="77">
        <f t="shared" si="0"/>
        <v>1.1405235828125</v>
      </c>
      <c r="J9" s="18">
        <v>7300000</v>
      </c>
      <c r="K9" s="18">
        <v>0</v>
      </c>
      <c r="L9" s="17">
        <f t="shared" si="5"/>
        <v>7300000</v>
      </c>
      <c r="M9" s="7">
        <f t="shared" si="1"/>
        <v>1.140625</v>
      </c>
      <c r="N9" s="18">
        <f>4300000+2250000</f>
        <v>6550000</v>
      </c>
      <c r="O9" s="18">
        <v>0</v>
      </c>
      <c r="P9" s="17">
        <f t="shared" si="6"/>
        <v>6550000</v>
      </c>
      <c r="Q9" s="92">
        <f t="shared" si="2"/>
        <v>0.8972602739726028</v>
      </c>
    </row>
    <row r="10" spans="1:17" s="25" customFormat="1" ht="11.25">
      <c r="A10" s="53"/>
      <c r="B10" s="93" t="s">
        <v>9</v>
      </c>
      <c r="C10" s="18">
        <f>750+37000</f>
        <v>37750</v>
      </c>
      <c r="D10" s="24">
        <v>0</v>
      </c>
      <c r="E10" s="23">
        <f t="shared" si="3"/>
        <v>37750</v>
      </c>
      <c r="F10" s="18">
        <v>33845.28</v>
      </c>
      <c r="G10" s="24">
        <v>0</v>
      </c>
      <c r="H10" s="23">
        <f t="shared" si="4"/>
        <v>33845.28</v>
      </c>
      <c r="I10" s="77">
        <f t="shared" si="0"/>
        <v>0.8965637086092715</v>
      </c>
      <c r="J10" s="18">
        <f>1800+37000</f>
        <v>38800</v>
      </c>
      <c r="K10" s="24">
        <v>0</v>
      </c>
      <c r="L10" s="23">
        <f t="shared" si="5"/>
        <v>38800</v>
      </c>
      <c r="M10" s="7">
        <f t="shared" si="1"/>
        <v>1.0278145695364238</v>
      </c>
      <c r="N10" s="18">
        <v>39655</v>
      </c>
      <c r="O10" s="24">
        <v>0</v>
      </c>
      <c r="P10" s="23">
        <f t="shared" si="6"/>
        <v>39655</v>
      </c>
      <c r="Q10" s="92">
        <f t="shared" si="2"/>
        <v>1.0220360824742267</v>
      </c>
    </row>
    <row r="11" spans="1:17" s="99" customFormat="1" ht="11.25">
      <c r="A11" s="94"/>
      <c r="B11" s="95" t="s">
        <v>10</v>
      </c>
      <c r="C11" s="18">
        <f>67000+4000</f>
        <v>71000</v>
      </c>
      <c r="D11" s="18">
        <v>0</v>
      </c>
      <c r="E11" s="17">
        <f t="shared" si="3"/>
        <v>71000</v>
      </c>
      <c r="F11" s="18">
        <v>75504.16</v>
      </c>
      <c r="G11" s="70"/>
      <c r="H11" s="96">
        <f t="shared" si="4"/>
        <v>75504.16</v>
      </c>
      <c r="I11" s="97">
        <f t="shared" si="0"/>
        <v>1.0634388732394366</v>
      </c>
      <c r="J11" s="18">
        <v>75504</v>
      </c>
      <c r="K11" s="18">
        <v>0</v>
      </c>
      <c r="L11" s="17">
        <f t="shared" si="5"/>
        <v>75504</v>
      </c>
      <c r="M11" s="7">
        <f t="shared" si="1"/>
        <v>1.0634366197183098</v>
      </c>
      <c r="N11" s="18">
        <f>4088+68474</f>
        <v>72562</v>
      </c>
      <c r="O11" s="18">
        <v>0</v>
      </c>
      <c r="P11" s="17">
        <f t="shared" si="6"/>
        <v>72562</v>
      </c>
      <c r="Q11" s="98">
        <f t="shared" si="2"/>
        <v>0.9610351769442679</v>
      </c>
    </row>
    <row r="12" spans="1:17" s="101" customFormat="1" ht="12" customHeight="1">
      <c r="A12" s="94"/>
      <c r="B12" s="100" t="s">
        <v>11</v>
      </c>
      <c r="C12" s="18">
        <f>2000</f>
        <v>2000</v>
      </c>
      <c r="D12" s="18">
        <v>0</v>
      </c>
      <c r="E12" s="17">
        <f t="shared" si="3"/>
        <v>2000</v>
      </c>
      <c r="F12" s="18">
        <v>1263.13</v>
      </c>
      <c r="G12" s="70"/>
      <c r="H12" s="96">
        <f t="shared" si="4"/>
        <v>1263.13</v>
      </c>
      <c r="I12" s="97">
        <f t="shared" si="0"/>
        <v>0.631565</v>
      </c>
      <c r="J12" s="18">
        <f>2000</f>
        <v>2000</v>
      </c>
      <c r="K12" s="18">
        <v>0</v>
      </c>
      <c r="L12" s="17">
        <f t="shared" si="5"/>
        <v>2000</v>
      </c>
      <c r="M12" s="7">
        <f t="shared" si="1"/>
        <v>1</v>
      </c>
      <c r="N12" s="18">
        <v>2000</v>
      </c>
      <c r="O12" s="18">
        <v>0</v>
      </c>
      <c r="P12" s="17">
        <f t="shared" si="6"/>
        <v>2000</v>
      </c>
      <c r="Q12" s="98">
        <f t="shared" si="2"/>
        <v>1</v>
      </c>
    </row>
    <row r="13" spans="1:17" s="99" customFormat="1" ht="33.75">
      <c r="A13" s="104"/>
      <c r="B13" s="105" t="s">
        <v>153</v>
      </c>
      <c r="C13" s="18">
        <v>420000</v>
      </c>
      <c r="D13" s="18"/>
      <c r="E13" s="17">
        <f t="shared" si="3"/>
        <v>420000</v>
      </c>
      <c r="F13" s="18">
        <v>422292</v>
      </c>
      <c r="G13" s="70"/>
      <c r="H13" s="96">
        <f t="shared" si="4"/>
        <v>422292</v>
      </c>
      <c r="I13" s="97">
        <f t="shared" si="0"/>
        <v>1.0054571428571428</v>
      </c>
      <c r="J13" s="18">
        <v>422292</v>
      </c>
      <c r="K13" s="18"/>
      <c r="L13" s="17">
        <f t="shared" si="5"/>
        <v>422292</v>
      </c>
      <c r="M13" s="7">
        <f t="shared" si="1"/>
        <v>1.0054571428571428</v>
      </c>
      <c r="N13" s="18">
        <f>420000</f>
        <v>420000</v>
      </c>
      <c r="O13" s="18"/>
      <c r="P13" s="17">
        <f t="shared" si="6"/>
        <v>420000</v>
      </c>
      <c r="Q13" s="98">
        <f t="shared" si="2"/>
        <v>0.9945724759171379</v>
      </c>
    </row>
    <row r="14" spans="1:17" s="19" customFormat="1" ht="11.25">
      <c r="A14" s="52"/>
      <c r="B14" s="15" t="s">
        <v>7</v>
      </c>
      <c r="C14" s="18">
        <v>4738000</v>
      </c>
      <c r="D14" s="18">
        <v>0</v>
      </c>
      <c r="E14" s="17">
        <f t="shared" si="3"/>
        <v>4738000</v>
      </c>
      <c r="F14" s="18">
        <v>3529606.44</v>
      </c>
      <c r="G14" s="70"/>
      <c r="H14" s="17">
        <f t="shared" si="4"/>
        <v>3529606.44</v>
      </c>
      <c r="I14" s="77">
        <f t="shared" si="0"/>
        <v>0.7449570367243562</v>
      </c>
      <c r="J14" s="18">
        <v>4300000</v>
      </c>
      <c r="K14" s="18">
        <v>0</v>
      </c>
      <c r="L14" s="17">
        <f t="shared" si="5"/>
        <v>4300000</v>
      </c>
      <c r="M14" s="7">
        <f t="shared" si="1"/>
        <v>0.9075559307724779</v>
      </c>
      <c r="N14" s="18">
        <v>4300000</v>
      </c>
      <c r="O14" s="18">
        <v>0</v>
      </c>
      <c r="P14" s="17">
        <f t="shared" si="6"/>
        <v>4300000</v>
      </c>
      <c r="Q14" s="92">
        <f t="shared" si="2"/>
        <v>1</v>
      </c>
    </row>
    <row r="15" spans="1:17" s="19" customFormat="1" ht="21.75" customHeight="1">
      <c r="A15" s="52"/>
      <c r="B15" s="15" t="s">
        <v>36</v>
      </c>
      <c r="C15" s="18">
        <v>4250000</v>
      </c>
      <c r="D15" s="18"/>
      <c r="E15" s="17">
        <f t="shared" si="3"/>
        <v>4250000</v>
      </c>
      <c r="F15" s="18">
        <v>4265095.73</v>
      </c>
      <c r="G15" s="70"/>
      <c r="H15" s="17">
        <f t="shared" si="4"/>
        <v>4265095.73</v>
      </c>
      <c r="I15" s="77">
        <f t="shared" si="0"/>
        <v>1.0035519364705883</v>
      </c>
      <c r="J15" s="18">
        <v>4265096</v>
      </c>
      <c r="K15" s="18"/>
      <c r="L15" s="17">
        <f t="shared" si="5"/>
        <v>4265096</v>
      </c>
      <c r="M15" s="7">
        <f t="shared" si="1"/>
        <v>1.003552</v>
      </c>
      <c r="N15" s="18">
        <f>4350000</f>
        <v>4350000</v>
      </c>
      <c r="O15" s="18"/>
      <c r="P15" s="17">
        <f t="shared" si="6"/>
        <v>4350000</v>
      </c>
      <c r="Q15" s="92">
        <f t="shared" si="2"/>
        <v>1.019906703155099</v>
      </c>
    </row>
    <row r="16" spans="1:17" s="19" customFormat="1" ht="22.5" customHeight="1">
      <c r="A16" s="57"/>
      <c r="B16" s="31" t="s">
        <v>37</v>
      </c>
      <c r="C16" s="18"/>
      <c r="D16" s="18">
        <f>5000000+120000</f>
        <v>5120000</v>
      </c>
      <c r="E16" s="17">
        <f t="shared" si="3"/>
        <v>5120000</v>
      </c>
      <c r="F16" s="70"/>
      <c r="G16" s="18">
        <v>4808684.91</v>
      </c>
      <c r="H16" s="17">
        <f t="shared" si="4"/>
        <v>4808684.91</v>
      </c>
      <c r="I16" s="77">
        <f t="shared" si="0"/>
        <v>0.939196271484375</v>
      </c>
      <c r="J16" s="18"/>
      <c r="K16" s="18">
        <v>5120000</v>
      </c>
      <c r="L16" s="17">
        <f t="shared" si="5"/>
        <v>5120000</v>
      </c>
      <c r="M16" s="7">
        <f t="shared" si="1"/>
        <v>1</v>
      </c>
      <c r="N16" s="18"/>
      <c r="O16" s="18">
        <v>5100000</v>
      </c>
      <c r="P16" s="17">
        <f t="shared" si="6"/>
        <v>5100000</v>
      </c>
      <c r="Q16" s="92">
        <f t="shared" si="2"/>
        <v>0.99609375</v>
      </c>
    </row>
    <row r="17" spans="1:17" s="99" customFormat="1" ht="22.5">
      <c r="A17" s="94"/>
      <c r="B17" s="100" t="s">
        <v>186</v>
      </c>
      <c r="C17" s="18">
        <f>1100000+225000</f>
        <v>1325000</v>
      </c>
      <c r="D17" s="18">
        <v>0</v>
      </c>
      <c r="E17" s="17">
        <f t="shared" si="3"/>
        <v>1325000</v>
      </c>
      <c r="F17" s="18">
        <v>1065342.65</v>
      </c>
      <c r="G17" s="70"/>
      <c r="H17" s="96">
        <f t="shared" si="4"/>
        <v>1065342.65</v>
      </c>
      <c r="I17" s="97">
        <f t="shared" si="0"/>
        <v>0.8040321886792452</v>
      </c>
      <c r="J17" s="18">
        <f>900000+225000</f>
        <v>1125000</v>
      </c>
      <c r="K17" s="18">
        <v>0</v>
      </c>
      <c r="L17" s="17">
        <f t="shared" si="5"/>
        <v>1125000</v>
      </c>
      <c r="M17" s="7">
        <f t="shared" si="1"/>
        <v>0.8490566037735849</v>
      </c>
      <c r="N17" s="18">
        <f>900000+230000</f>
        <v>1130000</v>
      </c>
      <c r="O17" s="18">
        <v>0</v>
      </c>
      <c r="P17" s="17">
        <f t="shared" si="6"/>
        <v>1130000</v>
      </c>
      <c r="Q17" s="98">
        <f t="shared" si="2"/>
        <v>1.0044444444444445</v>
      </c>
    </row>
    <row r="18" spans="1:17" s="99" customFormat="1" ht="11.25">
      <c r="A18" s="94"/>
      <c r="B18" s="100" t="s">
        <v>12</v>
      </c>
      <c r="C18" s="18">
        <v>0</v>
      </c>
      <c r="D18" s="18">
        <v>0</v>
      </c>
      <c r="E18" s="17">
        <f t="shared" si="3"/>
        <v>0</v>
      </c>
      <c r="F18" s="18">
        <v>120</v>
      </c>
      <c r="G18" s="70"/>
      <c r="H18" s="96">
        <f t="shared" si="4"/>
        <v>120</v>
      </c>
      <c r="I18" s="97"/>
      <c r="J18" s="18">
        <v>120</v>
      </c>
      <c r="K18" s="18">
        <v>0</v>
      </c>
      <c r="L18" s="17">
        <f t="shared" si="5"/>
        <v>120</v>
      </c>
      <c r="M18" s="7" t="e">
        <f t="shared" si="1"/>
        <v>#DIV/0!</v>
      </c>
      <c r="N18" s="18">
        <v>0</v>
      </c>
      <c r="O18" s="18">
        <v>0</v>
      </c>
      <c r="P18" s="17">
        <f t="shared" si="6"/>
        <v>0</v>
      </c>
      <c r="Q18" s="98">
        <f t="shared" si="2"/>
        <v>0</v>
      </c>
    </row>
    <row r="19" spans="1:17" s="99" customFormat="1" ht="11.25">
      <c r="A19" s="94"/>
      <c r="B19" s="100" t="s">
        <v>174</v>
      </c>
      <c r="C19" s="18">
        <f>100000</f>
        <v>100000</v>
      </c>
      <c r="D19" s="18">
        <v>0</v>
      </c>
      <c r="E19" s="17">
        <f t="shared" si="3"/>
        <v>100000</v>
      </c>
      <c r="F19" s="18">
        <v>73250</v>
      </c>
      <c r="G19" s="70"/>
      <c r="H19" s="96">
        <f t="shared" si="4"/>
        <v>73250</v>
      </c>
      <c r="I19" s="97">
        <f t="shared" si="0"/>
        <v>0.7325</v>
      </c>
      <c r="J19" s="18">
        <f>100000</f>
        <v>100000</v>
      </c>
      <c r="K19" s="18">
        <v>0</v>
      </c>
      <c r="L19" s="17">
        <f t="shared" si="5"/>
        <v>100000</v>
      </c>
      <c r="M19" s="7">
        <f t="shared" si="1"/>
        <v>1</v>
      </c>
      <c r="N19" s="18">
        <f>100000-100000</f>
        <v>0</v>
      </c>
      <c r="O19" s="18">
        <v>0</v>
      </c>
      <c r="P19" s="17">
        <f t="shared" si="6"/>
        <v>0</v>
      </c>
      <c r="Q19" s="98">
        <f t="shared" si="2"/>
        <v>0</v>
      </c>
    </row>
    <row r="20" spans="1:17" s="103" customFormat="1" ht="14.25" customHeight="1">
      <c r="A20" s="102"/>
      <c r="B20" s="95" t="s">
        <v>23</v>
      </c>
      <c r="C20" s="18">
        <v>250000</v>
      </c>
      <c r="D20" s="18"/>
      <c r="E20" s="17">
        <f>SUM(C20:D20)</f>
        <v>250000</v>
      </c>
      <c r="F20" s="18">
        <v>3957</v>
      </c>
      <c r="G20" s="70"/>
      <c r="H20" s="96">
        <f>SUM(F20:G20)</f>
        <v>3957</v>
      </c>
      <c r="I20" s="97">
        <f>H20/E20</f>
        <v>0.015828</v>
      </c>
      <c r="J20" s="18">
        <v>3957</v>
      </c>
      <c r="K20" s="18"/>
      <c r="L20" s="17">
        <f>SUM(J20:K20)</f>
        <v>3957</v>
      </c>
      <c r="M20" s="7">
        <f>L20/E20</f>
        <v>0.015828</v>
      </c>
      <c r="N20" s="18">
        <v>250000</v>
      </c>
      <c r="O20" s="18"/>
      <c r="P20" s="17">
        <f>SUM(N20:O20)</f>
        <v>250000</v>
      </c>
      <c r="Q20" s="98">
        <f t="shared" si="2"/>
        <v>63.17917614354309</v>
      </c>
    </row>
    <row r="21" spans="1:17" s="108" customFormat="1" ht="11.25">
      <c r="A21" s="106"/>
      <c r="B21" s="107" t="s">
        <v>13</v>
      </c>
      <c r="C21" s="18">
        <f>900000+300000</f>
        <v>1200000</v>
      </c>
      <c r="D21" s="18">
        <v>0</v>
      </c>
      <c r="E21" s="17">
        <f t="shared" si="3"/>
        <v>1200000</v>
      </c>
      <c r="F21" s="18">
        <v>1153582.75</v>
      </c>
      <c r="G21" s="70"/>
      <c r="H21" s="96">
        <f t="shared" si="4"/>
        <v>1153582.75</v>
      </c>
      <c r="I21" s="97">
        <f t="shared" si="0"/>
        <v>0.9613189583333334</v>
      </c>
      <c r="J21" s="18">
        <f>900000+300000</f>
        <v>1200000</v>
      </c>
      <c r="K21" s="18">
        <v>0</v>
      </c>
      <c r="L21" s="17">
        <f t="shared" si="5"/>
        <v>1200000</v>
      </c>
      <c r="M21" s="7">
        <f t="shared" si="1"/>
        <v>1</v>
      </c>
      <c r="N21" s="18">
        <f>900000+300000</f>
        <v>1200000</v>
      </c>
      <c r="O21" s="18">
        <v>0</v>
      </c>
      <c r="P21" s="17">
        <f t="shared" si="6"/>
        <v>1200000</v>
      </c>
      <c r="Q21" s="98">
        <f t="shared" si="2"/>
        <v>1</v>
      </c>
    </row>
    <row r="22" spans="1:17" s="13" customFormat="1" ht="24">
      <c r="A22" s="27">
        <v>2</v>
      </c>
      <c r="B22" s="28" t="s">
        <v>14</v>
      </c>
      <c r="C22" s="12">
        <f>SUM(C23:C26)</f>
        <v>39900000</v>
      </c>
      <c r="D22" s="12">
        <f>SUM(D23:D26)</f>
        <v>0</v>
      </c>
      <c r="E22" s="12">
        <f t="shared" si="3"/>
        <v>39900000</v>
      </c>
      <c r="F22" s="12">
        <f>SUM(F23:F26)</f>
        <v>40037060.919999994</v>
      </c>
      <c r="G22" s="12">
        <f>SUM(G23:G26)</f>
        <v>0</v>
      </c>
      <c r="H22" s="12">
        <f t="shared" si="4"/>
        <v>40037060.919999994</v>
      </c>
      <c r="I22" s="77">
        <f t="shared" si="0"/>
        <v>1.0034351107769421</v>
      </c>
      <c r="J22" s="12">
        <f>SUM(J23:J26)</f>
        <v>40458958.5</v>
      </c>
      <c r="K22" s="12">
        <f>SUM(K23:K26)</f>
        <v>0</v>
      </c>
      <c r="L22" s="12">
        <f t="shared" si="5"/>
        <v>40458958.5</v>
      </c>
      <c r="M22" s="7">
        <f t="shared" si="1"/>
        <v>1.014008984962406</v>
      </c>
      <c r="N22" s="12">
        <f>SUM(N23:N26)</f>
        <v>41400000</v>
      </c>
      <c r="O22" s="12">
        <f>SUM(O23:O26)</f>
        <v>0</v>
      </c>
      <c r="P22" s="12">
        <f t="shared" si="6"/>
        <v>41400000</v>
      </c>
      <c r="Q22" s="92">
        <f t="shared" si="2"/>
        <v>1.0232591627389518</v>
      </c>
    </row>
    <row r="23" spans="1:17" s="19" customFormat="1" ht="11.25">
      <c r="A23" s="52"/>
      <c r="B23" s="21" t="s">
        <v>15</v>
      </c>
      <c r="C23" s="18">
        <v>900000</v>
      </c>
      <c r="D23" s="18"/>
      <c r="E23" s="17">
        <f t="shared" si="3"/>
        <v>900000</v>
      </c>
      <c r="F23" s="18">
        <v>876541.55</v>
      </c>
      <c r="G23" s="18"/>
      <c r="H23" s="17">
        <f t="shared" si="4"/>
        <v>876541.55</v>
      </c>
      <c r="I23" s="77">
        <f t="shared" si="0"/>
        <v>0.9739350555555556</v>
      </c>
      <c r="J23" s="18">
        <v>900000</v>
      </c>
      <c r="K23" s="18"/>
      <c r="L23" s="17">
        <f t="shared" si="5"/>
        <v>900000</v>
      </c>
      <c r="M23" s="7">
        <f t="shared" si="1"/>
        <v>1</v>
      </c>
      <c r="N23" s="18">
        <f>900000</f>
        <v>900000</v>
      </c>
      <c r="O23" s="18"/>
      <c r="P23" s="17">
        <f t="shared" si="6"/>
        <v>900000</v>
      </c>
      <c r="Q23" s="92">
        <f t="shared" si="2"/>
        <v>1</v>
      </c>
    </row>
    <row r="24" spans="1:17" s="19" customFormat="1" ht="15" customHeight="1">
      <c r="A24" s="52"/>
      <c r="B24" s="21" t="s">
        <v>16</v>
      </c>
      <c r="C24" s="18">
        <f>3000000+1000000</f>
        <v>4000000</v>
      </c>
      <c r="D24" s="18"/>
      <c r="E24" s="17">
        <f t="shared" si="3"/>
        <v>4000000</v>
      </c>
      <c r="F24" s="18">
        <v>4515914.95</v>
      </c>
      <c r="G24" s="18"/>
      <c r="H24" s="17">
        <f t="shared" si="4"/>
        <v>4515914.95</v>
      </c>
      <c r="I24" s="77">
        <f t="shared" si="0"/>
        <v>1.1289787375</v>
      </c>
      <c r="J24" s="18">
        <v>4515914.95</v>
      </c>
      <c r="K24" s="18"/>
      <c r="L24" s="17">
        <f t="shared" si="5"/>
        <v>4515914.95</v>
      </c>
      <c r="M24" s="7">
        <f t="shared" si="1"/>
        <v>1.1289787375</v>
      </c>
      <c r="N24" s="18">
        <v>3500000</v>
      </c>
      <c r="O24" s="18"/>
      <c r="P24" s="17">
        <f t="shared" si="6"/>
        <v>3500000</v>
      </c>
      <c r="Q24" s="92">
        <f t="shared" si="2"/>
        <v>0.775036739786253</v>
      </c>
    </row>
    <row r="25" spans="1:17" s="19" customFormat="1" ht="14.25" customHeight="1">
      <c r="A25" s="52"/>
      <c r="B25" s="21" t="s">
        <v>17</v>
      </c>
      <c r="C25" s="18">
        <f>23000000+6000000+6000000</f>
        <v>35000000</v>
      </c>
      <c r="D25" s="18"/>
      <c r="E25" s="17">
        <f t="shared" si="3"/>
        <v>35000000</v>
      </c>
      <c r="F25" s="18">
        <v>34601560.87</v>
      </c>
      <c r="G25" s="18"/>
      <c r="H25" s="17">
        <f t="shared" si="4"/>
        <v>34601560.87</v>
      </c>
      <c r="I25" s="77">
        <f t="shared" si="0"/>
        <v>0.9886160248571427</v>
      </c>
      <c r="J25" s="18">
        <f>23000000+6000000+6000000</f>
        <v>35000000</v>
      </c>
      <c r="K25" s="18"/>
      <c r="L25" s="17">
        <f t="shared" si="5"/>
        <v>35000000</v>
      </c>
      <c r="M25" s="7">
        <f t="shared" si="1"/>
        <v>1</v>
      </c>
      <c r="N25" s="18">
        <f>37000000</f>
        <v>37000000</v>
      </c>
      <c r="O25" s="18"/>
      <c r="P25" s="17">
        <f t="shared" si="6"/>
        <v>37000000</v>
      </c>
      <c r="Q25" s="92">
        <f t="shared" si="2"/>
        <v>1.0571428571428572</v>
      </c>
    </row>
    <row r="26" spans="1:17" s="19" customFormat="1" ht="27.75" customHeight="1">
      <c r="A26" s="52"/>
      <c r="B26" s="21" t="s">
        <v>18</v>
      </c>
      <c r="C26" s="18"/>
      <c r="D26" s="18"/>
      <c r="E26" s="17">
        <f t="shared" si="3"/>
        <v>0</v>
      </c>
      <c r="F26" s="18">
        <v>43043.55</v>
      </c>
      <c r="G26" s="18"/>
      <c r="H26" s="17">
        <f t="shared" si="4"/>
        <v>43043.55</v>
      </c>
      <c r="I26" s="77"/>
      <c r="J26" s="18">
        <v>43043.55</v>
      </c>
      <c r="K26" s="18"/>
      <c r="L26" s="17">
        <f t="shared" si="5"/>
        <v>43043.55</v>
      </c>
      <c r="M26" s="7"/>
      <c r="N26" s="18"/>
      <c r="O26" s="18"/>
      <c r="P26" s="17">
        <f t="shared" si="6"/>
        <v>0</v>
      </c>
      <c r="Q26" s="92">
        <f t="shared" si="2"/>
        <v>0</v>
      </c>
    </row>
    <row r="27" spans="1:17" s="14" customFormat="1" ht="15" customHeight="1">
      <c r="A27" s="27">
        <v>3</v>
      </c>
      <c r="B27" s="29" t="s">
        <v>183</v>
      </c>
      <c r="C27" s="12">
        <f>SUM(C28:C33)</f>
        <v>67152340</v>
      </c>
      <c r="D27" s="12">
        <f>SUM(D28:D33)</f>
        <v>53861</v>
      </c>
      <c r="E27" s="30">
        <f t="shared" si="3"/>
        <v>67206201</v>
      </c>
      <c r="F27" s="79">
        <f>SUM(F28:F33)</f>
        <v>71125880.10999998</v>
      </c>
      <c r="G27" s="79">
        <f>SUM(G28:G33)</f>
        <v>136060.56</v>
      </c>
      <c r="H27" s="30">
        <f t="shared" si="4"/>
        <v>71261940.66999999</v>
      </c>
      <c r="I27" s="77">
        <f t="shared" si="0"/>
        <v>1.060347700207009</v>
      </c>
      <c r="J27" s="12">
        <f>SUM(J28:J33)</f>
        <v>73555345</v>
      </c>
      <c r="K27" s="12">
        <f>SUM(K28:K33)</f>
        <v>138600</v>
      </c>
      <c r="L27" s="30">
        <f t="shared" si="5"/>
        <v>73693945</v>
      </c>
      <c r="M27" s="7">
        <f t="shared" si="1"/>
        <v>1.0965349015933812</v>
      </c>
      <c r="N27" s="12">
        <f>SUM(N28:N33)</f>
        <v>55504760</v>
      </c>
      <c r="O27" s="12">
        <f>SUM(O28:O33)</f>
        <v>41802</v>
      </c>
      <c r="P27" s="30">
        <f t="shared" si="6"/>
        <v>55546562</v>
      </c>
      <c r="Q27" s="92">
        <f t="shared" si="2"/>
        <v>0.753746620566995</v>
      </c>
    </row>
    <row r="28" spans="1:17" s="19" customFormat="1" ht="22.5">
      <c r="A28" s="52"/>
      <c r="B28" s="21" t="s">
        <v>19</v>
      </c>
      <c r="C28" s="18">
        <f>39500000-3000000</f>
        <v>36500000</v>
      </c>
      <c r="D28" s="18"/>
      <c r="E28" s="17">
        <f t="shared" si="3"/>
        <v>36500000</v>
      </c>
      <c r="F28" s="18">
        <v>41778666.5</v>
      </c>
      <c r="G28" s="70"/>
      <c r="H28" s="17">
        <f t="shared" si="4"/>
        <v>41778666.5</v>
      </c>
      <c r="I28" s="77">
        <f t="shared" si="0"/>
        <v>1.144621</v>
      </c>
      <c r="J28" s="18">
        <v>41778667</v>
      </c>
      <c r="K28" s="18"/>
      <c r="L28" s="17">
        <f t="shared" si="5"/>
        <v>41778667</v>
      </c>
      <c r="M28" s="7">
        <f t="shared" si="1"/>
        <v>1.1446210136986301</v>
      </c>
      <c r="N28" s="18">
        <f>24500000</f>
        <v>24500000</v>
      </c>
      <c r="O28" s="18"/>
      <c r="P28" s="17">
        <f t="shared" si="6"/>
        <v>24500000</v>
      </c>
      <c r="Q28" s="92">
        <f t="shared" si="2"/>
        <v>0.5864236884340996</v>
      </c>
    </row>
    <row r="29" spans="1:17" s="19" customFormat="1" ht="21.75" customHeight="1">
      <c r="A29" s="52"/>
      <c r="B29" s="21" t="s">
        <v>185</v>
      </c>
      <c r="C29" s="18">
        <v>3000000</v>
      </c>
      <c r="D29" s="18"/>
      <c r="E29" s="17">
        <f t="shared" si="3"/>
        <v>3000000</v>
      </c>
      <c r="F29" s="91">
        <v>2893377.16</v>
      </c>
      <c r="G29" s="70"/>
      <c r="H29" s="17">
        <f t="shared" si="4"/>
        <v>2893377.16</v>
      </c>
      <c r="I29" s="77">
        <f t="shared" si="0"/>
        <v>0.9644590533333334</v>
      </c>
      <c r="J29" s="18">
        <v>3000000</v>
      </c>
      <c r="K29" s="18"/>
      <c r="L29" s="17">
        <f t="shared" si="5"/>
        <v>3000000</v>
      </c>
      <c r="M29" s="7">
        <f t="shared" si="1"/>
        <v>1</v>
      </c>
      <c r="N29" s="18">
        <v>2500000</v>
      </c>
      <c r="O29" s="18"/>
      <c r="P29" s="17">
        <f t="shared" si="6"/>
        <v>2500000</v>
      </c>
      <c r="Q29" s="92">
        <f t="shared" si="2"/>
        <v>0.8333333333333334</v>
      </c>
    </row>
    <row r="30" spans="1:17" s="19" customFormat="1" ht="11.25">
      <c r="A30" s="52"/>
      <c r="B30" s="21" t="s">
        <v>20</v>
      </c>
      <c r="C30" s="18">
        <f>6800000+800000</f>
        <v>7600000</v>
      </c>
      <c r="D30" s="18"/>
      <c r="E30" s="17">
        <f t="shared" si="3"/>
        <v>7600000</v>
      </c>
      <c r="F30" s="91">
        <v>7104680.01</v>
      </c>
      <c r="G30" s="70"/>
      <c r="H30" s="17">
        <f t="shared" si="4"/>
        <v>7104680.01</v>
      </c>
      <c r="I30" s="77">
        <f t="shared" si="0"/>
        <v>0.9348263171052631</v>
      </c>
      <c r="J30" s="18">
        <f>6800000+800000</f>
        <v>7600000</v>
      </c>
      <c r="K30" s="18"/>
      <c r="L30" s="17">
        <f t="shared" si="5"/>
        <v>7600000</v>
      </c>
      <c r="M30" s="7">
        <f t="shared" si="1"/>
        <v>1</v>
      </c>
      <c r="N30" s="18">
        <v>7700000</v>
      </c>
      <c r="O30" s="18"/>
      <c r="P30" s="17">
        <f t="shared" si="6"/>
        <v>7700000</v>
      </c>
      <c r="Q30" s="92">
        <f t="shared" si="2"/>
        <v>1.013157894736842</v>
      </c>
    </row>
    <row r="31" spans="1:17" s="19" customFormat="1" ht="11.25">
      <c r="A31" s="52"/>
      <c r="B31" s="21" t="s">
        <v>21</v>
      </c>
      <c r="C31" s="18">
        <f>5000000-800000</f>
        <v>4200000</v>
      </c>
      <c r="D31" s="18"/>
      <c r="E31" s="17">
        <f t="shared" si="3"/>
        <v>4200000</v>
      </c>
      <c r="F31" s="91">
        <v>3327850.09</v>
      </c>
      <c r="G31" s="70"/>
      <c r="H31" s="17">
        <f t="shared" si="4"/>
        <v>3327850.09</v>
      </c>
      <c r="I31" s="77">
        <f t="shared" si="0"/>
        <v>0.7923452595238095</v>
      </c>
      <c r="J31" s="18">
        <v>4000000</v>
      </c>
      <c r="K31" s="18"/>
      <c r="L31" s="17">
        <f t="shared" si="5"/>
        <v>4000000</v>
      </c>
      <c r="M31" s="7">
        <f t="shared" si="1"/>
        <v>0.9523809523809523</v>
      </c>
      <c r="N31" s="18">
        <v>4000000</v>
      </c>
      <c r="O31" s="18"/>
      <c r="P31" s="17">
        <f t="shared" si="6"/>
        <v>4000000</v>
      </c>
      <c r="Q31" s="92">
        <f t="shared" si="2"/>
        <v>1</v>
      </c>
    </row>
    <row r="32" spans="1:17" s="19" customFormat="1" ht="11.25">
      <c r="A32" s="52"/>
      <c r="B32" s="21" t="s">
        <v>22</v>
      </c>
      <c r="C32" s="18">
        <f>2200000+1800000</f>
        <v>4000000</v>
      </c>
      <c r="D32" s="18"/>
      <c r="E32" s="17">
        <f t="shared" si="3"/>
        <v>4000000</v>
      </c>
      <c r="F32" s="91">
        <v>5339120.58</v>
      </c>
      <c r="G32" s="70"/>
      <c r="H32" s="17">
        <f t="shared" si="4"/>
        <v>5339120.58</v>
      </c>
      <c r="I32" s="77">
        <f t="shared" si="0"/>
        <v>1.334780145</v>
      </c>
      <c r="J32" s="18">
        <v>5339121</v>
      </c>
      <c r="K32" s="18"/>
      <c r="L32" s="17">
        <f t="shared" si="5"/>
        <v>5339121</v>
      </c>
      <c r="M32" s="7">
        <f t="shared" si="1"/>
        <v>1.33478025</v>
      </c>
      <c r="N32" s="18">
        <v>4000000</v>
      </c>
      <c r="O32" s="18"/>
      <c r="P32" s="17">
        <f t="shared" si="6"/>
        <v>4000000</v>
      </c>
      <c r="Q32" s="92">
        <f t="shared" si="2"/>
        <v>0.749186991641508</v>
      </c>
    </row>
    <row r="33" spans="1:17" s="19" customFormat="1" ht="11.25">
      <c r="A33" s="52"/>
      <c r="B33" s="21" t="s">
        <v>8</v>
      </c>
      <c r="C33" s="18">
        <f>SUM(C34:C36)</f>
        <v>11852340</v>
      </c>
      <c r="D33" s="18">
        <f>SUM(D34:D36)</f>
        <v>53861</v>
      </c>
      <c r="E33" s="17">
        <f t="shared" si="3"/>
        <v>11906201</v>
      </c>
      <c r="F33" s="70">
        <f>SUM(F34:F36)</f>
        <v>10682185.77</v>
      </c>
      <c r="G33" s="70">
        <f>SUM(G34:G36)</f>
        <v>136060.56</v>
      </c>
      <c r="H33" s="17">
        <f t="shared" si="4"/>
        <v>10818246.33</v>
      </c>
      <c r="I33" s="77">
        <f t="shared" si="0"/>
        <v>0.9086228537549467</v>
      </c>
      <c r="J33" s="18">
        <f>SUM(J34:J36)</f>
        <v>11837557</v>
      </c>
      <c r="K33" s="18">
        <f>SUM(K34:K36)</f>
        <v>138600</v>
      </c>
      <c r="L33" s="17">
        <f t="shared" si="5"/>
        <v>11976157</v>
      </c>
      <c r="M33" s="7">
        <f t="shared" si="1"/>
        <v>1.005875593734727</v>
      </c>
      <c r="N33" s="18">
        <f>SUM(N34:N36)</f>
        <v>12804760</v>
      </c>
      <c r="O33" s="18">
        <f>SUM(O34:O36)</f>
        <v>41802</v>
      </c>
      <c r="P33" s="17">
        <f t="shared" si="6"/>
        <v>12846562</v>
      </c>
      <c r="Q33" s="92">
        <f t="shared" si="2"/>
        <v>1.072678155438343</v>
      </c>
    </row>
    <row r="34" spans="1:17" s="25" customFormat="1" ht="12.75" customHeight="1">
      <c r="A34" s="55"/>
      <c r="B34" s="22" t="s">
        <v>24</v>
      </c>
      <c r="C34" s="24">
        <v>460000</v>
      </c>
      <c r="D34" s="24">
        <v>500</v>
      </c>
      <c r="E34" s="23">
        <f t="shared" si="3"/>
        <v>460500</v>
      </c>
      <c r="F34" s="24">
        <v>438116.18</v>
      </c>
      <c r="G34" s="24">
        <v>500</v>
      </c>
      <c r="H34" s="23">
        <f t="shared" si="4"/>
        <v>438616.18</v>
      </c>
      <c r="I34" s="77">
        <f t="shared" si="0"/>
        <v>0.9524781324647122</v>
      </c>
      <c r="J34" s="24">
        <v>460000</v>
      </c>
      <c r="K34" s="24">
        <v>500</v>
      </c>
      <c r="L34" s="23">
        <f t="shared" si="5"/>
        <v>460500</v>
      </c>
      <c r="M34" s="7">
        <f t="shared" si="1"/>
        <v>1</v>
      </c>
      <c r="N34" s="24">
        <v>460000</v>
      </c>
      <c r="O34" s="24"/>
      <c r="P34" s="23">
        <f t="shared" si="6"/>
        <v>460000</v>
      </c>
      <c r="Q34" s="92">
        <f t="shared" si="2"/>
        <v>0.998914223669924</v>
      </c>
    </row>
    <row r="35" spans="1:17" s="63" customFormat="1" ht="45">
      <c r="A35" s="61"/>
      <c r="B35" s="62" t="s">
        <v>25</v>
      </c>
      <c r="C35" s="24">
        <f>27125+9766583+872634+300000+35000+290000+3600</f>
        <v>11294942</v>
      </c>
      <c r="D35" s="24"/>
      <c r="E35" s="23">
        <f t="shared" si="3"/>
        <v>11294942</v>
      </c>
      <c r="F35" s="24">
        <v>10170380.86</v>
      </c>
      <c r="G35" s="24">
        <v>94434.28</v>
      </c>
      <c r="H35" s="23">
        <f t="shared" si="4"/>
        <v>10264815.139999999</v>
      </c>
      <c r="I35" s="77">
        <f t="shared" si="0"/>
        <v>0.9087975077694067</v>
      </c>
      <c r="J35" s="24">
        <v>11294942</v>
      </c>
      <c r="K35" s="24">
        <v>94500</v>
      </c>
      <c r="L35" s="23">
        <f t="shared" si="5"/>
        <v>11389442</v>
      </c>
      <c r="M35" s="7">
        <f t="shared" si="1"/>
        <v>1.0083665768270436</v>
      </c>
      <c r="N35" s="24">
        <f>4695824+5515149+27700+35347+1321205+300000+360000</f>
        <v>12255225</v>
      </c>
      <c r="O35" s="24"/>
      <c r="P35" s="23">
        <f t="shared" si="6"/>
        <v>12255225</v>
      </c>
      <c r="Q35" s="92">
        <f t="shared" si="2"/>
        <v>1.0760162789362289</v>
      </c>
    </row>
    <row r="36" spans="1:17" s="26" customFormat="1" ht="22.5">
      <c r="A36" s="55"/>
      <c r="B36" s="22" t="s">
        <v>26</v>
      </c>
      <c r="C36" s="24">
        <f>97398</f>
        <v>97398</v>
      </c>
      <c r="D36" s="24">
        <f>24500+3861+25000</f>
        <v>53361</v>
      </c>
      <c r="E36" s="23">
        <f t="shared" si="3"/>
        <v>150759</v>
      </c>
      <c r="F36" s="24">
        <v>73688.73</v>
      </c>
      <c r="G36" s="24">
        <v>41126.28</v>
      </c>
      <c r="H36" s="23">
        <f t="shared" si="4"/>
        <v>114815.01</v>
      </c>
      <c r="I36" s="77">
        <f t="shared" si="0"/>
        <v>0.7615798061807255</v>
      </c>
      <c r="J36" s="24">
        <f>82615</f>
        <v>82615</v>
      </c>
      <c r="K36" s="24">
        <v>43600</v>
      </c>
      <c r="L36" s="23">
        <f t="shared" si="5"/>
        <v>126215</v>
      </c>
      <c r="M36" s="7">
        <f t="shared" si="1"/>
        <v>0.8371971159267441</v>
      </c>
      <c r="N36" s="24">
        <v>89535</v>
      </c>
      <c r="O36" s="24">
        <f>12941+3361+25500</f>
        <v>41802</v>
      </c>
      <c r="P36" s="23">
        <f t="shared" si="6"/>
        <v>131337</v>
      </c>
      <c r="Q36" s="92">
        <f t="shared" si="2"/>
        <v>1.040581547359664</v>
      </c>
    </row>
    <row r="37" spans="1:17" s="14" customFormat="1" ht="12">
      <c r="A37" s="27">
        <v>4</v>
      </c>
      <c r="B37" s="29" t="s">
        <v>27</v>
      </c>
      <c r="C37" s="12">
        <f>SUM(C38:C57)</f>
        <v>74911669</v>
      </c>
      <c r="D37" s="12">
        <f>SUM(D38:D57)</f>
        <v>3519580</v>
      </c>
      <c r="E37" s="30">
        <f t="shared" si="3"/>
        <v>78431249</v>
      </c>
      <c r="F37" s="12">
        <f>SUM(F38:F57)</f>
        <v>70618054.32999998</v>
      </c>
      <c r="G37" s="12">
        <f>SUM(G38:G57)</f>
        <v>4076825.3999999994</v>
      </c>
      <c r="H37" s="30">
        <f t="shared" si="4"/>
        <v>74694879.72999999</v>
      </c>
      <c r="I37" s="77">
        <f t="shared" si="0"/>
        <v>0.9523612167645066</v>
      </c>
      <c r="J37" s="12">
        <f>SUM(J38:J57)</f>
        <v>75468628.21</v>
      </c>
      <c r="K37" s="12">
        <f>SUM(K38:K57)</f>
        <v>4130150</v>
      </c>
      <c r="L37" s="30">
        <f t="shared" si="5"/>
        <v>79598778.21</v>
      </c>
      <c r="M37" s="7">
        <f t="shared" si="1"/>
        <v>1.0148860208767043</v>
      </c>
      <c r="N37" s="12">
        <f>SUM(N38:N57)</f>
        <v>71304454</v>
      </c>
      <c r="O37" s="12">
        <f>SUM(O38:O57)</f>
        <v>3412790</v>
      </c>
      <c r="P37" s="30">
        <f t="shared" si="6"/>
        <v>74717244</v>
      </c>
      <c r="Q37" s="92">
        <f t="shared" si="2"/>
        <v>0.9386732520300578</v>
      </c>
    </row>
    <row r="38" spans="1:17" s="19" customFormat="1" ht="15" customHeight="1">
      <c r="A38" s="52"/>
      <c r="B38" s="21" t="s">
        <v>28</v>
      </c>
      <c r="C38" s="18">
        <f>65709000-27125+1860048-1860048</f>
        <v>65681875</v>
      </c>
      <c r="D38" s="18"/>
      <c r="E38" s="17">
        <f t="shared" si="3"/>
        <v>65681875</v>
      </c>
      <c r="F38" s="75">
        <v>60975600.02</v>
      </c>
      <c r="G38" s="70"/>
      <c r="H38" s="17">
        <f t="shared" si="4"/>
        <v>60975600.02</v>
      </c>
      <c r="I38" s="77">
        <f t="shared" si="0"/>
        <v>0.9283474325299027</v>
      </c>
      <c r="J38" s="18">
        <v>63600000</v>
      </c>
      <c r="K38" s="18"/>
      <c r="L38" s="17">
        <f t="shared" si="5"/>
        <v>63600000</v>
      </c>
      <c r="M38" s="7">
        <f t="shared" si="1"/>
        <v>0.9683036606369718</v>
      </c>
      <c r="N38" s="18">
        <f>27700+63941613+90000+600000</f>
        <v>64659313</v>
      </c>
      <c r="O38" s="18"/>
      <c r="P38" s="17">
        <f t="shared" si="6"/>
        <v>64659313</v>
      </c>
      <c r="Q38" s="92">
        <f t="shared" si="2"/>
        <v>1.0166558647798742</v>
      </c>
    </row>
    <row r="39" spans="1:43" s="88" customFormat="1" ht="22.5">
      <c r="A39" s="52"/>
      <c r="B39" s="21" t="s">
        <v>181</v>
      </c>
      <c r="C39" s="18">
        <v>1860048</v>
      </c>
      <c r="D39" s="18"/>
      <c r="E39" s="17">
        <f t="shared" si="3"/>
        <v>1860048</v>
      </c>
      <c r="F39" s="115"/>
      <c r="G39" s="70"/>
      <c r="H39" s="17">
        <f t="shared" si="4"/>
        <v>0</v>
      </c>
      <c r="I39" s="77">
        <f t="shared" si="0"/>
        <v>0</v>
      </c>
      <c r="J39" s="18">
        <v>2118892</v>
      </c>
      <c r="K39" s="18"/>
      <c r="L39" s="17">
        <f t="shared" si="5"/>
        <v>2118892</v>
      </c>
      <c r="M39" s="7">
        <f t="shared" si="1"/>
        <v>1.1391598496382889</v>
      </c>
      <c r="N39" s="18">
        <f>2100000+200000</f>
        <v>2300000</v>
      </c>
      <c r="O39" s="18"/>
      <c r="P39" s="17">
        <f t="shared" si="6"/>
        <v>2300000</v>
      </c>
      <c r="Q39" s="92">
        <f t="shared" si="2"/>
        <v>1.0854729736107362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17" s="19" customFormat="1" ht="22.5">
      <c r="A40" s="52"/>
      <c r="B40" s="21" t="s">
        <v>29</v>
      </c>
      <c r="C40" s="18">
        <v>184500</v>
      </c>
      <c r="D40" s="18"/>
      <c r="E40" s="17">
        <f t="shared" si="3"/>
        <v>184500</v>
      </c>
      <c r="F40" s="18">
        <v>180780.2</v>
      </c>
      <c r="G40" s="70"/>
      <c r="H40" s="17">
        <f t="shared" si="4"/>
        <v>180780.2</v>
      </c>
      <c r="I40" s="77">
        <f t="shared" si="0"/>
        <v>0.979838482384824</v>
      </c>
      <c r="J40" s="18">
        <v>184500</v>
      </c>
      <c r="K40" s="18"/>
      <c r="L40" s="17">
        <f t="shared" si="5"/>
        <v>184500</v>
      </c>
      <c r="M40" s="7">
        <f t="shared" si="1"/>
        <v>1</v>
      </c>
      <c r="N40" s="18">
        <v>189300</v>
      </c>
      <c r="O40" s="18"/>
      <c r="P40" s="17">
        <f t="shared" si="6"/>
        <v>189300</v>
      </c>
      <c r="Q40" s="92">
        <f t="shared" si="2"/>
        <v>1.0260162601626017</v>
      </c>
    </row>
    <row r="41" spans="1:17" s="19" customFormat="1" ht="24" customHeight="1">
      <c r="A41" s="52"/>
      <c r="B41" s="21" t="s">
        <v>30</v>
      </c>
      <c r="C41" s="18">
        <f>360000+370000</f>
        <v>730000</v>
      </c>
      <c r="D41" s="18"/>
      <c r="E41" s="17">
        <f t="shared" si="3"/>
        <v>730000</v>
      </c>
      <c r="F41" s="18">
        <v>717749.26</v>
      </c>
      <c r="G41" s="70"/>
      <c r="H41" s="17">
        <f t="shared" si="4"/>
        <v>717749.26</v>
      </c>
      <c r="I41" s="77">
        <f t="shared" si="0"/>
        <v>0.9832181643835617</v>
      </c>
      <c r="J41" s="18">
        <f>335000+390000</f>
        <v>725000</v>
      </c>
      <c r="K41" s="18"/>
      <c r="L41" s="17">
        <f t="shared" si="5"/>
        <v>725000</v>
      </c>
      <c r="M41" s="7">
        <f t="shared" si="1"/>
        <v>0.9931506849315068</v>
      </c>
      <c r="N41" s="85">
        <f>380000+366060</f>
        <v>746060</v>
      </c>
      <c r="O41" s="18"/>
      <c r="P41" s="17">
        <f t="shared" si="6"/>
        <v>746060</v>
      </c>
      <c r="Q41" s="92">
        <f t="shared" si="2"/>
        <v>1.029048275862069</v>
      </c>
    </row>
    <row r="42" spans="1:17" s="19" customFormat="1" ht="21" customHeight="1">
      <c r="A42" s="52"/>
      <c r="B42" s="21" t="s">
        <v>31</v>
      </c>
      <c r="C42" s="18">
        <v>606200</v>
      </c>
      <c r="D42" s="18"/>
      <c r="E42" s="17">
        <f t="shared" si="3"/>
        <v>606200</v>
      </c>
      <c r="F42" s="18">
        <v>538751.41</v>
      </c>
      <c r="G42" s="70"/>
      <c r="H42" s="17">
        <f t="shared" si="4"/>
        <v>538751.41</v>
      </c>
      <c r="I42" s="77">
        <f t="shared" si="0"/>
        <v>0.8887354173540086</v>
      </c>
      <c r="J42" s="18">
        <v>606200</v>
      </c>
      <c r="K42" s="18"/>
      <c r="L42" s="17">
        <f t="shared" si="5"/>
        <v>606200</v>
      </c>
      <c r="M42" s="7">
        <f t="shared" si="1"/>
        <v>1</v>
      </c>
      <c r="N42" s="18">
        <v>588881</v>
      </c>
      <c r="O42" s="18"/>
      <c r="P42" s="17">
        <f t="shared" si="6"/>
        <v>588881</v>
      </c>
      <c r="Q42" s="92">
        <f t="shared" si="2"/>
        <v>0.9714302210491587</v>
      </c>
    </row>
    <row r="43" spans="1:17" s="19" customFormat="1" ht="22.5">
      <c r="A43" s="52"/>
      <c r="B43" s="21" t="s">
        <v>169</v>
      </c>
      <c r="C43" s="18"/>
      <c r="D43" s="18"/>
      <c r="E43" s="17">
        <f t="shared" si="3"/>
        <v>0</v>
      </c>
      <c r="F43" s="70"/>
      <c r="G43" s="70"/>
      <c r="H43" s="17">
        <f t="shared" si="4"/>
        <v>0</v>
      </c>
      <c r="I43" s="77" t="e">
        <f t="shared" si="0"/>
        <v>#DIV/0!</v>
      </c>
      <c r="J43" s="18"/>
      <c r="K43" s="18"/>
      <c r="L43" s="17">
        <f t="shared" si="5"/>
        <v>0</v>
      </c>
      <c r="M43" s="7" t="e">
        <f t="shared" si="1"/>
        <v>#DIV/0!</v>
      </c>
      <c r="N43" s="18">
        <v>62000</v>
      </c>
      <c r="O43" s="18"/>
      <c r="P43" s="17">
        <f t="shared" si="6"/>
        <v>62000</v>
      </c>
      <c r="Q43" s="92"/>
    </row>
    <row r="44" spans="1:17" s="19" customFormat="1" ht="33.75">
      <c r="A44" s="52"/>
      <c r="B44" s="21" t="s">
        <v>170</v>
      </c>
      <c r="C44" s="18"/>
      <c r="D44" s="18"/>
      <c r="E44" s="17">
        <f t="shared" si="3"/>
        <v>0</v>
      </c>
      <c r="F44" s="70"/>
      <c r="G44" s="70"/>
      <c r="H44" s="17">
        <f t="shared" si="4"/>
        <v>0</v>
      </c>
      <c r="I44" s="77" t="e">
        <f t="shared" si="0"/>
        <v>#DIV/0!</v>
      </c>
      <c r="J44" s="18"/>
      <c r="K44" s="18"/>
      <c r="L44" s="17">
        <f t="shared" si="5"/>
        <v>0</v>
      </c>
      <c r="M44" s="7" t="e">
        <f t="shared" si="1"/>
        <v>#DIV/0!</v>
      </c>
      <c r="O44" s="18">
        <v>2000</v>
      </c>
      <c r="P44" s="17">
        <f>SUM(O44:O44)</f>
        <v>2000</v>
      </c>
      <c r="Q44" s="92"/>
    </row>
    <row r="45" spans="1:17" s="19" customFormat="1" ht="21" customHeight="1">
      <c r="A45" s="52"/>
      <c r="B45" s="21" t="s">
        <v>32</v>
      </c>
      <c r="C45" s="18"/>
      <c r="D45" s="18">
        <v>437000</v>
      </c>
      <c r="E45" s="17">
        <f t="shared" si="3"/>
        <v>437000</v>
      </c>
      <c r="F45" s="70"/>
      <c r="G45" s="18">
        <v>406488.05</v>
      </c>
      <c r="H45" s="17">
        <f t="shared" si="4"/>
        <v>406488.05</v>
      </c>
      <c r="I45" s="77">
        <f t="shared" si="0"/>
        <v>0.9301786041189931</v>
      </c>
      <c r="J45" s="18"/>
      <c r="K45" s="18">
        <v>451800</v>
      </c>
      <c r="L45" s="17">
        <f t="shared" si="5"/>
        <v>451800</v>
      </c>
      <c r="M45" s="7">
        <f t="shared" si="1"/>
        <v>1.0338672768878718</v>
      </c>
      <c r="N45" s="18"/>
      <c r="O45" s="18">
        <v>462490</v>
      </c>
      <c r="P45" s="17">
        <f t="shared" si="6"/>
        <v>462490</v>
      </c>
      <c r="Q45" s="92">
        <f t="shared" si="2"/>
        <v>1.0236609119079239</v>
      </c>
    </row>
    <row r="46" spans="1:17" s="19" customFormat="1" ht="56.25">
      <c r="A46" s="52"/>
      <c r="B46" s="21" t="s">
        <v>33</v>
      </c>
      <c r="C46" s="18">
        <f>15000+16000+420000</f>
        <v>451000</v>
      </c>
      <c r="D46" s="18">
        <f>40000+2500+12000+10000</f>
        <v>64500</v>
      </c>
      <c r="E46" s="17">
        <f t="shared" si="3"/>
        <v>515500</v>
      </c>
      <c r="F46" s="18">
        <v>638063.36</v>
      </c>
      <c r="G46" s="18">
        <v>167851</v>
      </c>
      <c r="H46" s="17">
        <f t="shared" si="4"/>
        <v>805914.36</v>
      </c>
      <c r="I46" s="77">
        <f t="shared" si="0"/>
        <v>1.5633644228903976</v>
      </c>
      <c r="J46" s="18">
        <v>640000</v>
      </c>
      <c r="K46" s="18">
        <v>168000</v>
      </c>
      <c r="L46" s="17">
        <f t="shared" si="5"/>
        <v>808000</v>
      </c>
      <c r="M46" s="7">
        <f t="shared" si="1"/>
        <v>1.5674102812803103</v>
      </c>
      <c r="N46" s="18">
        <f>15000+50000+420000</f>
        <v>485000</v>
      </c>
      <c r="O46" s="18">
        <f>42000+45000</f>
        <v>87000</v>
      </c>
      <c r="P46" s="17">
        <f t="shared" si="6"/>
        <v>572000</v>
      </c>
      <c r="Q46" s="92">
        <f t="shared" si="2"/>
        <v>0.7079207920792079</v>
      </c>
    </row>
    <row r="47" spans="1:17" s="19" customFormat="1" ht="12.75" customHeight="1">
      <c r="A47" s="52"/>
      <c r="B47" s="110" t="s">
        <v>189</v>
      </c>
      <c r="C47" s="18"/>
      <c r="D47" s="18"/>
      <c r="E47" s="17">
        <f t="shared" si="3"/>
        <v>0</v>
      </c>
      <c r="F47" s="70"/>
      <c r="G47" s="70"/>
      <c r="H47" s="17">
        <f t="shared" si="4"/>
        <v>0</v>
      </c>
      <c r="I47" s="77" t="e">
        <f t="shared" si="0"/>
        <v>#DIV/0!</v>
      </c>
      <c r="J47" s="18"/>
      <c r="K47" s="18"/>
      <c r="L47" s="17">
        <f t="shared" si="5"/>
        <v>0</v>
      </c>
      <c r="M47" s="7"/>
      <c r="N47" s="18">
        <v>25000</v>
      </c>
      <c r="O47" s="18"/>
      <c r="P47" s="17">
        <f t="shared" si="6"/>
        <v>25000</v>
      </c>
      <c r="Q47" s="92"/>
    </row>
    <row r="48" spans="1:17" s="19" customFormat="1" ht="21" customHeight="1">
      <c r="A48" s="56"/>
      <c r="B48" s="15" t="s">
        <v>34</v>
      </c>
      <c r="C48" s="18"/>
      <c r="D48" s="18">
        <v>2000000</v>
      </c>
      <c r="E48" s="17">
        <f t="shared" si="3"/>
        <v>2000000</v>
      </c>
      <c r="F48" s="70"/>
      <c r="G48" s="18">
        <v>2114432.59</v>
      </c>
      <c r="H48" s="17">
        <f t="shared" si="4"/>
        <v>2114432.59</v>
      </c>
      <c r="I48" s="77">
        <f t="shared" si="0"/>
        <v>1.057216295</v>
      </c>
      <c r="J48" s="18"/>
      <c r="K48" s="18">
        <v>2115000</v>
      </c>
      <c r="L48" s="17">
        <f t="shared" si="5"/>
        <v>2115000</v>
      </c>
      <c r="M48" s="7">
        <f t="shared" si="1"/>
        <v>1.0575</v>
      </c>
      <c r="N48" s="18"/>
      <c r="O48" s="18">
        <v>2000000</v>
      </c>
      <c r="P48" s="17">
        <f t="shared" si="6"/>
        <v>2000000</v>
      </c>
      <c r="Q48" s="92">
        <f t="shared" si="2"/>
        <v>0.9456264775413712</v>
      </c>
    </row>
    <row r="49" spans="1:17" s="19" customFormat="1" ht="32.25" customHeight="1">
      <c r="A49" s="56"/>
      <c r="B49" s="21" t="s">
        <v>35</v>
      </c>
      <c r="C49" s="18">
        <v>75974</v>
      </c>
      <c r="D49" s="18">
        <v>1100</v>
      </c>
      <c r="E49" s="17">
        <f t="shared" si="3"/>
        <v>77074</v>
      </c>
      <c r="F49" s="18">
        <v>95857.47</v>
      </c>
      <c r="G49" s="18">
        <v>3140.26</v>
      </c>
      <c r="H49" s="17">
        <f t="shared" si="4"/>
        <v>98997.73</v>
      </c>
      <c r="I49" s="77">
        <f t="shared" si="0"/>
        <v>1.284450398318499</v>
      </c>
      <c r="J49" s="18">
        <v>110000</v>
      </c>
      <c r="K49" s="18">
        <v>3200</v>
      </c>
      <c r="L49" s="17">
        <f t="shared" si="5"/>
        <v>113200</v>
      </c>
      <c r="M49" s="7">
        <f t="shared" si="1"/>
        <v>1.4687183745491346</v>
      </c>
      <c r="N49" s="18">
        <f>82500+500+25000+900-25000</f>
        <v>83900</v>
      </c>
      <c r="O49" s="18">
        <v>1300</v>
      </c>
      <c r="P49" s="17">
        <f t="shared" si="6"/>
        <v>85200</v>
      </c>
      <c r="Q49" s="92">
        <f t="shared" si="2"/>
        <v>0.7526501766784452</v>
      </c>
    </row>
    <row r="50" spans="1:17" s="19" customFormat="1" ht="21.75" customHeight="1">
      <c r="A50" s="52"/>
      <c r="B50" s="21" t="s">
        <v>38</v>
      </c>
      <c r="C50" s="18">
        <v>75000</v>
      </c>
      <c r="D50" s="18"/>
      <c r="E50" s="17">
        <f t="shared" si="3"/>
        <v>75000</v>
      </c>
      <c r="F50" s="18">
        <v>67464.12</v>
      </c>
      <c r="G50" s="70"/>
      <c r="H50" s="17">
        <f t="shared" si="4"/>
        <v>67464.12</v>
      </c>
      <c r="I50" s="77">
        <f t="shared" si="0"/>
        <v>0.8995215999999999</v>
      </c>
      <c r="J50" s="18">
        <v>75000</v>
      </c>
      <c r="K50" s="18"/>
      <c r="L50" s="17">
        <f t="shared" si="5"/>
        <v>75000</v>
      </c>
      <c r="M50" s="7">
        <f t="shared" si="1"/>
        <v>1</v>
      </c>
      <c r="N50" s="18">
        <v>30000</v>
      </c>
      <c r="O50" s="18"/>
      <c r="P50" s="17">
        <f t="shared" si="6"/>
        <v>30000</v>
      </c>
      <c r="Q50" s="92">
        <f t="shared" si="2"/>
        <v>0.4</v>
      </c>
    </row>
    <row r="51" spans="1:17" s="20" customFormat="1" ht="33.75">
      <c r="A51" s="56"/>
      <c r="B51" s="21" t="s">
        <v>39</v>
      </c>
      <c r="C51" s="18"/>
      <c r="D51" s="18">
        <v>840000</v>
      </c>
      <c r="E51" s="17">
        <f t="shared" si="3"/>
        <v>840000</v>
      </c>
      <c r="F51" s="70"/>
      <c r="G51" s="18">
        <v>959154.4</v>
      </c>
      <c r="H51" s="17">
        <f t="shared" si="4"/>
        <v>959154.4</v>
      </c>
      <c r="I51" s="77">
        <f t="shared" si="0"/>
        <v>1.1418504761904762</v>
      </c>
      <c r="J51" s="18"/>
      <c r="K51" s="18">
        <v>960000</v>
      </c>
      <c r="L51" s="17">
        <f t="shared" si="5"/>
        <v>960000</v>
      </c>
      <c r="M51" s="7">
        <f t="shared" si="1"/>
        <v>1.1428571428571428</v>
      </c>
      <c r="N51" s="18"/>
      <c r="O51" s="18">
        <v>860000</v>
      </c>
      <c r="P51" s="17">
        <f t="shared" si="6"/>
        <v>860000</v>
      </c>
      <c r="Q51" s="92">
        <f t="shared" si="2"/>
        <v>0.8958333333333334</v>
      </c>
    </row>
    <row r="52" spans="1:17" s="20" customFormat="1" ht="33" customHeight="1" hidden="1">
      <c r="A52" s="56"/>
      <c r="B52" s="21" t="s">
        <v>132</v>
      </c>
      <c r="C52" s="18"/>
      <c r="D52" s="18"/>
      <c r="E52" s="17">
        <f t="shared" si="3"/>
        <v>0</v>
      </c>
      <c r="F52" s="70"/>
      <c r="G52" s="70"/>
      <c r="H52" s="17">
        <f t="shared" si="4"/>
        <v>0</v>
      </c>
      <c r="I52" s="77"/>
      <c r="J52" s="18"/>
      <c r="K52" s="18"/>
      <c r="L52" s="17">
        <f t="shared" si="5"/>
        <v>0</v>
      </c>
      <c r="M52" s="7" t="e">
        <f t="shared" si="1"/>
        <v>#DIV/0!</v>
      </c>
      <c r="N52" s="18"/>
      <c r="O52" s="18"/>
      <c r="P52" s="17">
        <f t="shared" si="6"/>
        <v>0</v>
      </c>
      <c r="Q52" s="92" t="e">
        <f t="shared" si="2"/>
        <v>#DIV/0!</v>
      </c>
    </row>
    <row r="53" spans="1:17" s="19" customFormat="1" ht="45">
      <c r="A53" s="56"/>
      <c r="B53" s="78" t="s">
        <v>118</v>
      </c>
      <c r="C53" s="18"/>
      <c r="D53" s="18">
        <v>146650</v>
      </c>
      <c r="E53" s="17">
        <f t="shared" si="3"/>
        <v>146650</v>
      </c>
      <c r="F53" s="18">
        <v>12340.73</v>
      </c>
      <c r="G53" s="18">
        <v>140423.1</v>
      </c>
      <c r="H53" s="17">
        <f t="shared" si="4"/>
        <v>152763.83000000002</v>
      </c>
      <c r="I53" s="77">
        <f t="shared" si="0"/>
        <v>1.041689942038868</v>
      </c>
      <c r="J53" s="18">
        <v>12341</v>
      </c>
      <c r="K53" s="18">
        <v>146650</v>
      </c>
      <c r="L53" s="17">
        <f t="shared" si="5"/>
        <v>158991</v>
      </c>
      <c r="M53" s="7">
        <f t="shared" si="1"/>
        <v>1.0841527446300716</v>
      </c>
      <c r="N53" s="18"/>
      <c r="O53" s="18"/>
      <c r="P53" s="17">
        <f t="shared" si="6"/>
        <v>0</v>
      </c>
      <c r="Q53" s="92">
        <f t="shared" si="2"/>
        <v>0</v>
      </c>
    </row>
    <row r="54" spans="1:17" s="2" customFormat="1" ht="21" customHeight="1">
      <c r="A54" s="57"/>
      <c r="B54" s="31" t="s">
        <v>40</v>
      </c>
      <c r="C54" s="18">
        <f>700000+1242693+3000000</f>
        <v>4942693</v>
      </c>
      <c r="D54" s="18"/>
      <c r="E54" s="17">
        <f t="shared" si="3"/>
        <v>4942693</v>
      </c>
      <c r="F54" s="18">
        <v>4995537.13</v>
      </c>
      <c r="G54" s="18">
        <v>7465.13</v>
      </c>
      <c r="H54" s="17">
        <f t="shared" si="4"/>
        <v>5003002.26</v>
      </c>
      <c r="I54" s="77">
        <f t="shared" si="0"/>
        <v>1.0122017005709236</v>
      </c>
      <c r="J54" s="18">
        <v>5000000</v>
      </c>
      <c r="K54" s="18">
        <v>7500</v>
      </c>
      <c r="L54" s="17">
        <f t="shared" si="5"/>
        <v>5007500</v>
      </c>
      <c r="M54" s="7">
        <f t="shared" si="1"/>
        <v>1.0131116781883884</v>
      </c>
      <c r="N54" s="18">
        <v>2000000</v>
      </c>
      <c r="O54" s="18"/>
      <c r="P54" s="17">
        <f t="shared" si="6"/>
        <v>2000000</v>
      </c>
      <c r="Q54" s="92">
        <f t="shared" si="2"/>
        <v>0.39940089865202194</v>
      </c>
    </row>
    <row r="55" spans="1:17" s="2" customFormat="1" ht="22.5" hidden="1">
      <c r="A55" s="57"/>
      <c r="B55" s="21" t="s">
        <v>119</v>
      </c>
      <c r="C55" s="18"/>
      <c r="D55" s="18"/>
      <c r="E55" s="17">
        <f t="shared" si="3"/>
        <v>0</v>
      </c>
      <c r="F55" s="70"/>
      <c r="G55" s="70"/>
      <c r="H55" s="17">
        <f t="shared" si="4"/>
        <v>0</v>
      </c>
      <c r="I55" s="77"/>
      <c r="J55" s="18"/>
      <c r="K55" s="18"/>
      <c r="L55" s="17">
        <f t="shared" si="5"/>
        <v>0</v>
      </c>
      <c r="M55" s="7"/>
      <c r="N55" s="18"/>
      <c r="O55" s="18"/>
      <c r="P55" s="17">
        <f t="shared" si="6"/>
        <v>0</v>
      </c>
      <c r="Q55" s="92" t="e">
        <f t="shared" si="2"/>
        <v>#DIV/0!</v>
      </c>
    </row>
    <row r="56" spans="1:17" s="19" customFormat="1" ht="22.5" hidden="1">
      <c r="A56" s="52"/>
      <c r="B56" s="21" t="s">
        <v>41</v>
      </c>
      <c r="C56" s="18">
        <f>110000-110000</f>
        <v>0</v>
      </c>
      <c r="D56" s="18"/>
      <c r="E56" s="17">
        <f t="shared" si="3"/>
        <v>0</v>
      </c>
      <c r="F56" s="70">
        <f>110000-110000</f>
        <v>0</v>
      </c>
      <c r="G56" s="70"/>
      <c r="H56" s="17">
        <f t="shared" si="4"/>
        <v>0</v>
      </c>
      <c r="I56" s="77"/>
      <c r="J56" s="18">
        <f>110000-110000</f>
        <v>0</v>
      </c>
      <c r="K56" s="18"/>
      <c r="L56" s="17">
        <f t="shared" si="5"/>
        <v>0</v>
      </c>
      <c r="M56" s="7"/>
      <c r="N56" s="18">
        <f>110000-110000</f>
        <v>0</v>
      </c>
      <c r="O56" s="18"/>
      <c r="P56" s="17">
        <f t="shared" si="6"/>
        <v>0</v>
      </c>
      <c r="Q56" s="92" t="e">
        <f t="shared" si="2"/>
        <v>#DIV/0!</v>
      </c>
    </row>
    <row r="57" spans="1:17" s="19" customFormat="1" ht="11.25">
      <c r="A57" s="52"/>
      <c r="B57" s="21" t="s">
        <v>42</v>
      </c>
      <c r="C57" s="18">
        <f>SUM(C58:C66)</f>
        <v>304379</v>
      </c>
      <c r="D57" s="18">
        <f>SUM(D58:D66)</f>
        <v>30330</v>
      </c>
      <c r="E57" s="17">
        <f t="shared" si="3"/>
        <v>334709</v>
      </c>
      <c r="F57" s="70">
        <f>SUM(F58:F66)</f>
        <v>2395910.63</v>
      </c>
      <c r="G57" s="70">
        <f>SUM(G58:G66)</f>
        <v>277870.87</v>
      </c>
      <c r="H57" s="17">
        <f t="shared" si="4"/>
        <v>2673781.5</v>
      </c>
      <c r="I57" s="77">
        <f t="shared" si="0"/>
        <v>7.988376470307043</v>
      </c>
      <c r="J57" s="18">
        <f>SUM(J58:J66)</f>
        <v>2396695.21</v>
      </c>
      <c r="K57" s="18">
        <f>SUM(K58:K66)</f>
        <v>278000</v>
      </c>
      <c r="L57" s="17">
        <f t="shared" si="5"/>
        <v>2674695.21</v>
      </c>
      <c r="M57" s="7">
        <f t="shared" si="1"/>
        <v>7.991106334158926</v>
      </c>
      <c r="N57" s="18">
        <f>SUM(N58:N66)</f>
        <v>135000</v>
      </c>
      <c r="O57" s="18">
        <f>SUM(O58:O66)</f>
        <v>0</v>
      </c>
      <c r="P57" s="17">
        <f t="shared" si="6"/>
        <v>135000</v>
      </c>
      <c r="Q57" s="92">
        <f t="shared" si="2"/>
        <v>0.05047304062730946</v>
      </c>
    </row>
    <row r="58" spans="1:43" s="109" customFormat="1" ht="21" customHeight="1">
      <c r="A58" s="61"/>
      <c r="B58" s="62" t="s">
        <v>124</v>
      </c>
      <c r="C58" s="24"/>
      <c r="D58" s="24"/>
      <c r="E58" s="23">
        <f>SUM(C58:D58)</f>
        <v>0</v>
      </c>
      <c r="F58" s="24">
        <v>33107.38</v>
      </c>
      <c r="G58" s="80"/>
      <c r="H58" s="23">
        <f>SUM(F58:G58)</f>
        <v>33107.38</v>
      </c>
      <c r="I58" s="77"/>
      <c r="J58" s="24">
        <v>33107</v>
      </c>
      <c r="K58" s="24"/>
      <c r="L58" s="23">
        <f>SUM(J58:K58)</f>
        <v>33107</v>
      </c>
      <c r="M58" s="7"/>
      <c r="N58" s="24"/>
      <c r="O58" s="24"/>
      <c r="P58" s="23">
        <f>SUM(N58:O58)</f>
        <v>0</v>
      </c>
      <c r="Q58" s="92">
        <f>P58/L58</f>
        <v>0</v>
      </c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</row>
    <row r="59" spans="1:17" s="25" customFormat="1" ht="11.25">
      <c r="A59" s="55"/>
      <c r="B59" s="22" t="s">
        <v>43</v>
      </c>
      <c r="C59" s="24">
        <v>100000</v>
      </c>
      <c r="D59" s="24"/>
      <c r="E59" s="23">
        <f t="shared" si="3"/>
        <v>100000</v>
      </c>
      <c r="F59" s="24">
        <v>159409.01</v>
      </c>
      <c r="G59" s="80"/>
      <c r="H59" s="23">
        <f t="shared" si="4"/>
        <v>159409.01</v>
      </c>
      <c r="I59" s="77">
        <f t="shared" si="0"/>
        <v>1.5940901</v>
      </c>
      <c r="J59" s="24">
        <v>160000</v>
      </c>
      <c r="K59" s="24"/>
      <c r="L59" s="23">
        <f t="shared" si="5"/>
        <v>160000</v>
      </c>
      <c r="M59" s="7">
        <f t="shared" si="1"/>
        <v>1.6</v>
      </c>
      <c r="N59" s="24">
        <v>135000</v>
      </c>
      <c r="O59" s="24"/>
      <c r="P59" s="23">
        <f t="shared" si="6"/>
        <v>135000</v>
      </c>
      <c r="Q59" s="92">
        <f t="shared" si="2"/>
        <v>0.84375</v>
      </c>
    </row>
    <row r="60" spans="1:17" s="25" customFormat="1" ht="33.75" hidden="1">
      <c r="A60" s="53"/>
      <c r="B60" s="22" t="s">
        <v>44</v>
      </c>
      <c r="C60" s="24"/>
      <c r="D60" s="24"/>
      <c r="E60" s="23">
        <f t="shared" si="3"/>
        <v>0</v>
      </c>
      <c r="F60" s="80"/>
      <c r="G60" s="80"/>
      <c r="H60" s="23">
        <f t="shared" si="4"/>
        <v>0</v>
      </c>
      <c r="I60" s="77"/>
      <c r="J60" s="24"/>
      <c r="K60" s="24"/>
      <c r="L60" s="23">
        <f t="shared" si="5"/>
        <v>0</v>
      </c>
      <c r="M60" s="7"/>
      <c r="N60" s="24"/>
      <c r="O60" s="24"/>
      <c r="P60" s="23">
        <f t="shared" si="6"/>
        <v>0</v>
      </c>
      <c r="Q60" s="92" t="e">
        <f t="shared" si="2"/>
        <v>#DIV/0!</v>
      </c>
    </row>
    <row r="61" spans="1:17" s="25" customFormat="1" ht="22.5" hidden="1">
      <c r="A61" s="53"/>
      <c r="B61" s="22" t="s">
        <v>45</v>
      </c>
      <c r="C61" s="24"/>
      <c r="D61" s="24"/>
      <c r="E61" s="23">
        <f t="shared" si="3"/>
        <v>0</v>
      </c>
      <c r="F61" s="80"/>
      <c r="G61" s="80"/>
      <c r="H61" s="23">
        <f t="shared" si="4"/>
        <v>0</v>
      </c>
      <c r="I61" s="77"/>
      <c r="J61" s="24"/>
      <c r="K61" s="24"/>
      <c r="L61" s="23">
        <f t="shared" si="5"/>
        <v>0</v>
      </c>
      <c r="M61" s="7"/>
      <c r="N61" s="24"/>
      <c r="O61" s="24"/>
      <c r="P61" s="23">
        <f t="shared" si="6"/>
        <v>0</v>
      </c>
      <c r="Q61" s="92" t="e">
        <f t="shared" si="2"/>
        <v>#DIV/0!</v>
      </c>
    </row>
    <row r="62" spans="1:17" s="25" customFormat="1" ht="11.25" hidden="1">
      <c r="A62" s="53"/>
      <c r="B62" s="22" t="s">
        <v>46</v>
      </c>
      <c r="C62" s="24"/>
      <c r="D62" s="24"/>
      <c r="E62" s="23">
        <f t="shared" si="3"/>
        <v>0</v>
      </c>
      <c r="F62" s="80"/>
      <c r="G62" s="80"/>
      <c r="H62" s="23">
        <f t="shared" si="4"/>
        <v>0</v>
      </c>
      <c r="I62" s="77"/>
      <c r="J62" s="24"/>
      <c r="K62" s="24"/>
      <c r="L62" s="23">
        <f t="shared" si="5"/>
        <v>0</v>
      </c>
      <c r="M62" s="7"/>
      <c r="N62" s="24"/>
      <c r="O62" s="24"/>
      <c r="P62" s="23">
        <f t="shared" si="6"/>
        <v>0</v>
      </c>
      <c r="Q62" s="92" t="e">
        <f t="shared" si="2"/>
        <v>#DIV/0!</v>
      </c>
    </row>
    <row r="63" spans="1:17" s="25" customFormat="1" ht="22.5" hidden="1">
      <c r="A63" s="53"/>
      <c r="B63" s="22" t="s">
        <v>45</v>
      </c>
      <c r="C63" s="24"/>
      <c r="D63" s="24"/>
      <c r="E63" s="23">
        <f t="shared" si="3"/>
        <v>0</v>
      </c>
      <c r="F63" s="80"/>
      <c r="G63" s="80"/>
      <c r="H63" s="23">
        <f t="shared" si="4"/>
        <v>0</v>
      </c>
      <c r="I63" s="77"/>
      <c r="J63" s="24"/>
      <c r="K63" s="24"/>
      <c r="L63" s="23">
        <f t="shared" si="5"/>
        <v>0</v>
      </c>
      <c r="M63" s="7"/>
      <c r="N63" s="24"/>
      <c r="O63" s="24"/>
      <c r="P63" s="23">
        <f t="shared" si="6"/>
        <v>0</v>
      </c>
      <c r="Q63" s="92" t="e">
        <f t="shared" si="2"/>
        <v>#DIV/0!</v>
      </c>
    </row>
    <row r="64" spans="1:17" s="25" customFormat="1" ht="11.25" hidden="1">
      <c r="A64" s="53"/>
      <c r="B64" s="22" t="s">
        <v>47</v>
      </c>
      <c r="C64" s="24"/>
      <c r="D64" s="24"/>
      <c r="E64" s="23">
        <f t="shared" si="3"/>
        <v>0</v>
      </c>
      <c r="F64" s="80"/>
      <c r="G64" s="80"/>
      <c r="H64" s="23">
        <f t="shared" si="4"/>
        <v>0</v>
      </c>
      <c r="I64" s="77"/>
      <c r="J64" s="24"/>
      <c r="K64" s="24"/>
      <c r="L64" s="23">
        <f t="shared" si="5"/>
        <v>0</v>
      </c>
      <c r="M64" s="7"/>
      <c r="N64" s="24"/>
      <c r="O64" s="24"/>
      <c r="P64" s="23">
        <f t="shared" si="6"/>
        <v>0</v>
      </c>
      <c r="Q64" s="92" t="e">
        <f t="shared" si="2"/>
        <v>#DIV/0!</v>
      </c>
    </row>
    <row r="65" spans="1:17" s="25" customFormat="1" ht="21" customHeight="1">
      <c r="A65" s="53"/>
      <c r="B65" s="22" t="s">
        <v>48</v>
      </c>
      <c r="C65" s="24">
        <f>190000+100+14465-14465</f>
        <v>190100</v>
      </c>
      <c r="D65" s="24">
        <f>650+180+500+29000</f>
        <v>30330</v>
      </c>
      <c r="E65" s="23">
        <f t="shared" si="3"/>
        <v>220430</v>
      </c>
      <c r="F65" s="24">
        <v>1670806.03</v>
      </c>
      <c r="G65" s="24">
        <v>277870.87</v>
      </c>
      <c r="H65" s="23">
        <f t="shared" si="4"/>
        <v>1948676.9</v>
      </c>
      <c r="I65" s="77">
        <f t="shared" si="0"/>
        <v>8.840343419679716</v>
      </c>
      <c r="J65" s="24">
        <v>1671000</v>
      </c>
      <c r="K65" s="24">
        <v>278000</v>
      </c>
      <c r="L65" s="23">
        <f t="shared" si="5"/>
        <v>1949000</v>
      </c>
      <c r="M65" s="7">
        <f t="shared" si="1"/>
        <v>8.841809191126435</v>
      </c>
      <c r="N65" s="24"/>
      <c r="O65" s="24"/>
      <c r="P65" s="23">
        <f t="shared" si="6"/>
        <v>0</v>
      </c>
      <c r="Q65" s="92">
        <f t="shared" si="2"/>
        <v>0</v>
      </c>
    </row>
    <row r="66" spans="1:17" s="25" customFormat="1" ht="12.75" customHeight="1">
      <c r="A66" s="53"/>
      <c r="B66" s="22" t="s">
        <v>49</v>
      </c>
      <c r="C66" s="24">
        <v>14279</v>
      </c>
      <c r="D66" s="24"/>
      <c r="E66" s="23">
        <f t="shared" si="3"/>
        <v>14279</v>
      </c>
      <c r="F66" s="24">
        <v>532588.21</v>
      </c>
      <c r="G66" s="80"/>
      <c r="H66" s="23">
        <f t="shared" si="4"/>
        <v>532588.21</v>
      </c>
      <c r="I66" s="77">
        <f t="shared" si="0"/>
        <v>37.298705091392954</v>
      </c>
      <c r="J66" s="24">
        <v>532588.21</v>
      </c>
      <c r="K66" s="24"/>
      <c r="L66" s="23">
        <f t="shared" si="5"/>
        <v>532588.21</v>
      </c>
      <c r="M66" s="7">
        <f t="shared" si="1"/>
        <v>37.298705091392954</v>
      </c>
      <c r="N66" s="24"/>
      <c r="O66" s="24"/>
      <c r="P66" s="23">
        <f t="shared" si="6"/>
        <v>0</v>
      </c>
      <c r="Q66" s="92">
        <f t="shared" si="2"/>
        <v>0</v>
      </c>
    </row>
    <row r="67" spans="1:17" s="14" customFormat="1" ht="24" customHeight="1">
      <c r="A67" s="27">
        <v>5</v>
      </c>
      <c r="B67" s="29" t="s">
        <v>184</v>
      </c>
      <c r="C67" s="12">
        <f>SUM(C68:C84)</f>
        <v>4652228</v>
      </c>
      <c r="D67" s="12">
        <f>SUM(D68:D84)</f>
        <v>795107</v>
      </c>
      <c r="E67" s="30">
        <f t="shared" si="3"/>
        <v>5447335</v>
      </c>
      <c r="F67" s="79">
        <f>SUM(F68:F81)</f>
        <v>4632892.69</v>
      </c>
      <c r="G67" s="79">
        <f>SUM(G68:G81)</f>
        <v>901218.7600000001</v>
      </c>
      <c r="H67" s="30">
        <f t="shared" si="4"/>
        <v>5534111.45</v>
      </c>
      <c r="I67" s="77">
        <f t="shared" si="0"/>
        <v>1.0159300740637394</v>
      </c>
      <c r="J67" s="12">
        <f>SUM(J68:J84)</f>
        <v>4886425</v>
      </c>
      <c r="K67" s="12">
        <f>SUM(K68:K84)</f>
        <v>933018.7500000001</v>
      </c>
      <c r="L67" s="30">
        <f t="shared" si="5"/>
        <v>5819443.75</v>
      </c>
      <c r="M67" s="7">
        <f t="shared" si="1"/>
        <v>1.0683102379420395</v>
      </c>
      <c r="N67" s="12">
        <f>SUM(N68:N84)</f>
        <v>5271588</v>
      </c>
      <c r="O67" s="12">
        <f>SUM(O68:O84)</f>
        <v>728370</v>
      </c>
      <c r="P67" s="30">
        <f t="shared" si="6"/>
        <v>5999958</v>
      </c>
      <c r="Q67" s="92">
        <f t="shared" si="2"/>
        <v>1.0310191588328352</v>
      </c>
    </row>
    <row r="68" spans="1:17" s="34" customFormat="1" ht="11.25" customHeight="1">
      <c r="A68" s="57"/>
      <c r="B68" s="32" t="s">
        <v>50</v>
      </c>
      <c r="C68" s="18">
        <f>60000</f>
        <v>60000</v>
      </c>
      <c r="D68" s="18">
        <v>15000</v>
      </c>
      <c r="E68" s="17">
        <f t="shared" si="3"/>
        <v>75000</v>
      </c>
      <c r="F68" s="18">
        <v>41841</v>
      </c>
      <c r="G68" s="18">
        <v>21300</v>
      </c>
      <c r="H68" s="17">
        <f t="shared" si="4"/>
        <v>63141</v>
      </c>
      <c r="I68" s="77">
        <f t="shared" si="0"/>
        <v>0.84188</v>
      </c>
      <c r="J68" s="18">
        <f>60000</f>
        <v>60000</v>
      </c>
      <c r="K68" s="18">
        <v>21300</v>
      </c>
      <c r="L68" s="17">
        <f t="shared" si="5"/>
        <v>81300</v>
      </c>
      <c r="M68" s="7">
        <f t="shared" si="1"/>
        <v>1.084</v>
      </c>
      <c r="N68" s="18">
        <v>52000</v>
      </c>
      <c r="O68" s="18"/>
      <c r="P68" s="17">
        <f t="shared" si="6"/>
        <v>52000</v>
      </c>
      <c r="Q68" s="92">
        <f t="shared" si="2"/>
        <v>0.6396063960639606</v>
      </c>
    </row>
    <row r="69" spans="1:17" s="9" customFormat="1" ht="45">
      <c r="A69" s="57"/>
      <c r="B69" s="15" t="s">
        <v>139</v>
      </c>
      <c r="C69" s="33"/>
      <c r="D69" s="33">
        <v>81107</v>
      </c>
      <c r="E69" s="17">
        <f>SUM(C69:D69)</f>
        <v>81107</v>
      </c>
      <c r="F69" s="81"/>
      <c r="G69" s="18">
        <v>80348.01</v>
      </c>
      <c r="H69" s="17">
        <f>SUM(F69:G69)</f>
        <v>80348.01</v>
      </c>
      <c r="I69" s="77">
        <f>H69/E69</f>
        <v>0.9906421147373222</v>
      </c>
      <c r="J69" s="33"/>
      <c r="K69" s="18">
        <v>81107</v>
      </c>
      <c r="L69" s="17">
        <f>SUM(J69:K69)</f>
        <v>81107</v>
      </c>
      <c r="M69" s="7">
        <f>L69/E69</f>
        <v>1</v>
      </c>
      <c r="N69" s="33"/>
      <c r="O69" s="33"/>
      <c r="P69" s="17">
        <f>SUM(N69:O69)</f>
        <v>0</v>
      </c>
      <c r="Q69" s="92">
        <f t="shared" si="2"/>
        <v>0</v>
      </c>
    </row>
    <row r="70" spans="1:17" s="9" customFormat="1" ht="21.75" customHeight="1">
      <c r="A70" s="57"/>
      <c r="B70" s="15" t="s">
        <v>202</v>
      </c>
      <c r="C70" s="33"/>
      <c r="D70" s="33"/>
      <c r="E70" s="17">
        <f>SUM(C70:D70)</f>
        <v>0</v>
      </c>
      <c r="F70" s="81"/>
      <c r="G70" s="18">
        <v>111370.75</v>
      </c>
      <c r="H70" s="17">
        <f>SUM(F70:G70)</f>
        <v>111370.75</v>
      </c>
      <c r="I70" s="77" t="e">
        <f>H70/E70</f>
        <v>#DIV/0!</v>
      </c>
      <c r="J70" s="33"/>
      <c r="K70" s="18">
        <v>111370.75</v>
      </c>
      <c r="L70" s="17">
        <f>SUM(J70:K70)</f>
        <v>111370.75</v>
      </c>
      <c r="M70" s="7" t="e">
        <f>L70/E70</f>
        <v>#DIV/0!</v>
      </c>
      <c r="N70" s="33"/>
      <c r="O70" s="33"/>
      <c r="P70" s="17">
        <f>SUM(N70:O70)</f>
        <v>0</v>
      </c>
      <c r="Q70" s="92">
        <f t="shared" si="2"/>
        <v>0</v>
      </c>
    </row>
    <row r="71" spans="1:17" s="3" customFormat="1" ht="12.75" customHeight="1">
      <c r="A71" s="57"/>
      <c r="B71" s="36" t="s">
        <v>51</v>
      </c>
      <c r="C71" s="18"/>
      <c r="D71" s="18">
        <v>12500</v>
      </c>
      <c r="E71" s="17">
        <f t="shared" si="3"/>
        <v>12500</v>
      </c>
      <c r="F71" s="70"/>
      <c r="G71" s="18">
        <v>13001.81</v>
      </c>
      <c r="H71" s="17">
        <f t="shared" si="4"/>
        <v>13001.81</v>
      </c>
      <c r="I71" s="77">
        <f>H71/E71</f>
        <v>1.0401448</v>
      </c>
      <c r="J71" s="18"/>
      <c r="K71" s="18">
        <v>13001.81</v>
      </c>
      <c r="L71" s="17">
        <f t="shared" si="5"/>
        <v>13001.81</v>
      </c>
      <c r="M71" s="7">
        <f>L71/E71</f>
        <v>1.0401448</v>
      </c>
      <c r="N71" s="18"/>
      <c r="O71" s="18">
        <v>14820</v>
      </c>
      <c r="P71" s="17">
        <f t="shared" si="6"/>
        <v>14820</v>
      </c>
      <c r="Q71" s="92">
        <f aca="true" t="shared" si="7" ref="Q71:Q137">P71/L71</f>
        <v>1.1398412990191367</v>
      </c>
    </row>
    <row r="72" spans="1:17" s="9" customFormat="1" ht="24" customHeight="1">
      <c r="A72" s="57"/>
      <c r="B72" s="36" t="s">
        <v>52</v>
      </c>
      <c r="C72" s="18"/>
      <c r="D72" s="18">
        <v>346500</v>
      </c>
      <c r="E72" s="17">
        <f t="shared" si="3"/>
        <v>346500</v>
      </c>
      <c r="F72" s="70"/>
      <c r="G72" s="18">
        <v>317625</v>
      </c>
      <c r="H72" s="17">
        <f t="shared" si="4"/>
        <v>317625</v>
      </c>
      <c r="I72" s="77">
        <f>H72/E72</f>
        <v>0.9166666666666666</v>
      </c>
      <c r="J72" s="18"/>
      <c r="K72" s="18">
        <v>346500</v>
      </c>
      <c r="L72" s="17">
        <f t="shared" si="5"/>
        <v>346500</v>
      </c>
      <c r="M72" s="7">
        <f>L72/E72</f>
        <v>1</v>
      </c>
      <c r="N72" s="18"/>
      <c r="O72" s="18">
        <v>348550</v>
      </c>
      <c r="P72" s="17">
        <f t="shared" si="6"/>
        <v>348550</v>
      </c>
      <c r="Q72" s="92">
        <f t="shared" si="7"/>
        <v>1.0059163059163059</v>
      </c>
    </row>
    <row r="73" spans="1:17" s="9" customFormat="1" ht="12.75" customHeight="1">
      <c r="A73" s="57"/>
      <c r="B73" s="36" t="s">
        <v>53</v>
      </c>
      <c r="C73" s="18"/>
      <c r="D73" s="18">
        <v>185000</v>
      </c>
      <c r="E73" s="17">
        <f aca="true" t="shared" si="8" ref="E73:E83">SUM(C73:D73)</f>
        <v>185000</v>
      </c>
      <c r="F73" s="70"/>
      <c r="G73" s="18">
        <v>199298.55</v>
      </c>
      <c r="H73" s="17">
        <f aca="true" t="shared" si="9" ref="H73:H114">SUM(F73:G73)</f>
        <v>199298.55</v>
      </c>
      <c r="I73" s="77">
        <f>H73/E73</f>
        <v>1.0772894594594593</v>
      </c>
      <c r="J73" s="18"/>
      <c r="K73" s="18">
        <v>199298.55</v>
      </c>
      <c r="L73" s="17">
        <f aca="true" t="shared" si="10" ref="L73:L139">SUM(J73:K73)</f>
        <v>199298.55</v>
      </c>
      <c r="M73" s="7">
        <f>L73/E73</f>
        <v>1.0772894594594593</v>
      </c>
      <c r="N73" s="18"/>
      <c r="O73" s="18">
        <v>190000</v>
      </c>
      <c r="P73" s="17">
        <f aca="true" t="shared" si="11" ref="P73:P139">SUM(N73:O73)</f>
        <v>190000</v>
      </c>
      <c r="Q73" s="92">
        <f t="shared" si="7"/>
        <v>0.9533436143915749</v>
      </c>
    </row>
    <row r="74" spans="1:17" s="19" customFormat="1" ht="33.75" hidden="1">
      <c r="A74" s="56"/>
      <c r="B74" s="15" t="s">
        <v>59</v>
      </c>
      <c r="C74" s="16"/>
      <c r="D74" s="16"/>
      <c r="E74" s="17">
        <f t="shared" si="8"/>
        <v>0</v>
      </c>
      <c r="F74" s="71"/>
      <c r="G74" s="71"/>
      <c r="H74" s="17">
        <f t="shared" si="9"/>
        <v>0</v>
      </c>
      <c r="I74" s="77"/>
      <c r="J74" s="16"/>
      <c r="K74" s="16"/>
      <c r="L74" s="17">
        <f t="shared" si="10"/>
        <v>0</v>
      </c>
      <c r="M74" s="7"/>
      <c r="N74" s="16"/>
      <c r="O74" s="16"/>
      <c r="P74" s="17">
        <f t="shared" si="11"/>
        <v>0</v>
      </c>
      <c r="Q74" s="92" t="e">
        <f t="shared" si="7"/>
        <v>#DIV/0!</v>
      </c>
    </row>
    <row r="75" spans="1:17" s="9" customFormat="1" ht="52.5" customHeight="1">
      <c r="A75" s="57"/>
      <c r="B75" s="36" t="s">
        <v>54</v>
      </c>
      <c r="C75" s="18"/>
      <c r="D75" s="18">
        <v>45000</v>
      </c>
      <c r="E75" s="17">
        <f t="shared" si="8"/>
        <v>45000</v>
      </c>
      <c r="F75" s="70"/>
      <c r="G75" s="18">
        <v>42834</v>
      </c>
      <c r="H75" s="17">
        <f t="shared" si="9"/>
        <v>42834</v>
      </c>
      <c r="I75" s="77">
        <f aca="true" t="shared" si="12" ref="I75:I141">H75/E75</f>
        <v>0.9518666666666666</v>
      </c>
      <c r="J75" s="18"/>
      <c r="K75" s="18">
        <v>45000</v>
      </c>
      <c r="L75" s="17">
        <f t="shared" si="10"/>
        <v>45000</v>
      </c>
      <c r="M75" s="7">
        <f aca="true" t="shared" si="13" ref="M75:M141">L75/E75</f>
        <v>1</v>
      </c>
      <c r="N75" s="18"/>
      <c r="O75" s="18">
        <v>45000</v>
      </c>
      <c r="P75" s="17">
        <f t="shared" si="11"/>
        <v>45000</v>
      </c>
      <c r="Q75" s="92">
        <f t="shared" si="7"/>
        <v>1</v>
      </c>
    </row>
    <row r="76" spans="1:17" s="9" customFormat="1" ht="22.5" hidden="1">
      <c r="A76" s="57"/>
      <c r="B76" s="36" t="s">
        <v>133</v>
      </c>
      <c r="C76" s="18"/>
      <c r="D76" s="18"/>
      <c r="E76" s="17">
        <f t="shared" si="8"/>
        <v>0</v>
      </c>
      <c r="F76" s="70"/>
      <c r="G76" s="70"/>
      <c r="H76" s="17">
        <f t="shared" si="9"/>
        <v>0</v>
      </c>
      <c r="I76" s="77"/>
      <c r="J76" s="18"/>
      <c r="K76" s="18"/>
      <c r="L76" s="17">
        <f t="shared" si="10"/>
        <v>0</v>
      </c>
      <c r="M76" s="7"/>
      <c r="N76" s="18"/>
      <c r="O76" s="18"/>
      <c r="P76" s="17">
        <f t="shared" si="11"/>
        <v>0</v>
      </c>
      <c r="Q76" s="92" t="e">
        <f t="shared" si="7"/>
        <v>#DIV/0!</v>
      </c>
    </row>
    <row r="77" spans="1:17" s="9" customFormat="1" ht="9.75" customHeight="1">
      <c r="A77" s="57"/>
      <c r="B77" s="36" t="s">
        <v>55</v>
      </c>
      <c r="C77" s="18"/>
      <c r="D77" s="18">
        <v>110000</v>
      </c>
      <c r="E77" s="17">
        <f t="shared" si="8"/>
        <v>110000</v>
      </c>
      <c r="F77" s="70"/>
      <c r="G77" s="18">
        <v>115440.64</v>
      </c>
      <c r="H77" s="17">
        <f t="shared" si="9"/>
        <v>115440.64</v>
      </c>
      <c r="I77" s="77">
        <f t="shared" si="12"/>
        <v>1.0494603636363635</v>
      </c>
      <c r="J77" s="7"/>
      <c r="K77" s="18">
        <v>115440.64</v>
      </c>
      <c r="L77" s="17">
        <f t="shared" si="10"/>
        <v>115440.64</v>
      </c>
      <c r="M77" s="7">
        <f>L77/I77</f>
        <v>110000.00000000001</v>
      </c>
      <c r="N77" s="7"/>
      <c r="O77" s="18">
        <v>130000</v>
      </c>
      <c r="P77" s="17">
        <f t="shared" si="11"/>
        <v>130000</v>
      </c>
      <c r="Q77" s="92">
        <f t="shared" si="7"/>
        <v>1.126119882911252</v>
      </c>
    </row>
    <row r="78" spans="1:17" s="9" customFormat="1" ht="11.25" customHeight="1">
      <c r="A78" s="57"/>
      <c r="B78" s="36" t="s">
        <v>179</v>
      </c>
      <c r="C78" s="18"/>
      <c r="D78" s="18"/>
      <c r="E78" s="17">
        <f t="shared" si="8"/>
        <v>0</v>
      </c>
      <c r="F78" s="18">
        <v>505</v>
      </c>
      <c r="G78" s="70"/>
      <c r="H78" s="17">
        <f t="shared" si="9"/>
        <v>505</v>
      </c>
      <c r="I78" s="77"/>
      <c r="J78" s="18">
        <v>505</v>
      </c>
      <c r="K78" s="18"/>
      <c r="L78" s="17">
        <f t="shared" si="10"/>
        <v>505</v>
      </c>
      <c r="M78" s="7"/>
      <c r="N78" s="18"/>
      <c r="O78" s="18"/>
      <c r="P78" s="17">
        <f t="shared" si="11"/>
        <v>0</v>
      </c>
      <c r="Q78" s="92">
        <f t="shared" si="7"/>
        <v>0</v>
      </c>
    </row>
    <row r="79" spans="1:17" s="9" customFormat="1" ht="13.5" customHeight="1" hidden="1">
      <c r="A79" s="57"/>
      <c r="B79" s="36" t="s">
        <v>130</v>
      </c>
      <c r="C79" s="18"/>
      <c r="D79" s="18"/>
      <c r="E79" s="17">
        <f t="shared" si="8"/>
        <v>0</v>
      </c>
      <c r="F79" s="70"/>
      <c r="G79" s="70"/>
      <c r="H79" s="17">
        <f t="shared" si="9"/>
        <v>0</v>
      </c>
      <c r="I79" s="77"/>
      <c r="J79" s="18"/>
      <c r="K79" s="18"/>
      <c r="L79" s="17">
        <f t="shared" si="10"/>
        <v>0</v>
      </c>
      <c r="M79" s="7"/>
      <c r="N79" s="18"/>
      <c r="O79" s="18"/>
      <c r="P79" s="17">
        <f t="shared" si="11"/>
        <v>0</v>
      </c>
      <c r="Q79" s="92" t="e">
        <f t="shared" si="7"/>
        <v>#DIV/0!</v>
      </c>
    </row>
    <row r="80" spans="1:17" s="9" customFormat="1" ht="36" customHeight="1" hidden="1">
      <c r="A80" s="57"/>
      <c r="B80" s="36" t="s">
        <v>126</v>
      </c>
      <c r="C80" s="18"/>
      <c r="D80" s="18"/>
      <c r="E80" s="17">
        <f t="shared" si="8"/>
        <v>0</v>
      </c>
      <c r="F80" s="70"/>
      <c r="G80" s="70"/>
      <c r="H80" s="17">
        <f t="shared" si="9"/>
        <v>0</v>
      </c>
      <c r="I80" s="77"/>
      <c r="J80" s="18"/>
      <c r="K80" s="18"/>
      <c r="L80" s="17">
        <f t="shared" si="10"/>
        <v>0</v>
      </c>
      <c r="M80" s="7"/>
      <c r="N80" s="18"/>
      <c r="O80" s="18"/>
      <c r="P80" s="17">
        <f t="shared" si="11"/>
        <v>0</v>
      </c>
      <c r="Q80" s="92" t="e">
        <f t="shared" si="7"/>
        <v>#DIV/0!</v>
      </c>
    </row>
    <row r="81" spans="1:17" s="19" customFormat="1" ht="42" customHeight="1">
      <c r="A81" s="56"/>
      <c r="B81" s="15" t="s">
        <v>56</v>
      </c>
      <c r="C81" s="18">
        <f>4086000+280308</f>
        <v>4366308</v>
      </c>
      <c r="D81" s="18"/>
      <c r="E81" s="17">
        <f t="shared" si="8"/>
        <v>4366308</v>
      </c>
      <c r="F81" s="18">
        <v>4590546.69</v>
      </c>
      <c r="G81" s="70"/>
      <c r="H81" s="17">
        <f t="shared" si="9"/>
        <v>4590546.69</v>
      </c>
      <c r="I81" s="77">
        <f t="shared" si="12"/>
        <v>1.0513565900527404</v>
      </c>
      <c r="J81" s="18">
        <v>4600000</v>
      </c>
      <c r="K81" s="18"/>
      <c r="L81" s="17">
        <f t="shared" si="10"/>
        <v>4600000</v>
      </c>
      <c r="M81" s="7">
        <f t="shared" si="13"/>
        <v>1.0535216480376557</v>
      </c>
      <c r="N81" s="18">
        <f>4769588</f>
        <v>4769588</v>
      </c>
      <c r="O81" s="18"/>
      <c r="P81" s="17">
        <f t="shared" si="11"/>
        <v>4769588</v>
      </c>
      <c r="Q81" s="92">
        <f t="shared" si="7"/>
        <v>1.0368669565217392</v>
      </c>
    </row>
    <row r="82" spans="1:17" s="19" customFormat="1" ht="33" customHeight="1">
      <c r="A82" s="56"/>
      <c r="B82" s="15" t="s">
        <v>207</v>
      </c>
      <c r="C82" s="18"/>
      <c r="D82" s="18"/>
      <c r="E82" s="17"/>
      <c r="F82" s="18"/>
      <c r="G82" s="70"/>
      <c r="H82" s="17"/>
      <c r="I82" s="77"/>
      <c r="J82" s="18"/>
      <c r="K82" s="18"/>
      <c r="L82" s="17">
        <f t="shared" si="10"/>
        <v>0</v>
      </c>
      <c r="M82" s="7"/>
      <c r="N82" s="18">
        <v>450000</v>
      </c>
      <c r="O82" s="18"/>
      <c r="P82" s="17">
        <f t="shared" si="11"/>
        <v>450000</v>
      </c>
      <c r="Q82" s="92"/>
    </row>
    <row r="83" spans="1:17" s="19" customFormat="1" ht="67.5">
      <c r="A83" s="56"/>
      <c r="B83" s="15" t="s">
        <v>194</v>
      </c>
      <c r="C83" s="18">
        <v>125920</v>
      </c>
      <c r="D83" s="18"/>
      <c r="E83" s="17">
        <f t="shared" si="8"/>
        <v>125920</v>
      </c>
      <c r="F83" s="18">
        <v>125920</v>
      </c>
      <c r="G83" s="70"/>
      <c r="H83" s="17">
        <f t="shared" si="9"/>
        <v>125920</v>
      </c>
      <c r="I83" s="77"/>
      <c r="J83" s="18">
        <v>125920</v>
      </c>
      <c r="K83" s="18"/>
      <c r="L83" s="17">
        <f t="shared" si="10"/>
        <v>125920</v>
      </c>
      <c r="M83" s="7">
        <f t="shared" si="13"/>
        <v>1</v>
      </c>
      <c r="N83" s="18"/>
      <c r="O83" s="18"/>
      <c r="P83" s="17">
        <f t="shared" si="11"/>
        <v>0</v>
      </c>
      <c r="Q83" s="92">
        <f t="shared" si="7"/>
        <v>0</v>
      </c>
    </row>
    <row r="84" spans="1:17" s="19" customFormat="1" ht="36" customHeight="1">
      <c r="A84" s="56"/>
      <c r="B84" s="15" t="s">
        <v>188</v>
      </c>
      <c r="C84" s="18">
        <v>100000</v>
      </c>
      <c r="D84" s="18"/>
      <c r="E84" s="17">
        <f aca="true" t="shared" si="14" ref="E84:E145">SUM(C84:D84)</f>
        <v>100000</v>
      </c>
      <c r="F84" s="70"/>
      <c r="G84" s="70"/>
      <c r="H84" s="17">
        <f t="shared" si="9"/>
        <v>0</v>
      </c>
      <c r="I84" s="77"/>
      <c r="J84" s="18">
        <v>100000</v>
      </c>
      <c r="K84" s="18"/>
      <c r="L84" s="17">
        <f t="shared" si="10"/>
        <v>100000</v>
      </c>
      <c r="M84" s="7">
        <f t="shared" si="13"/>
        <v>1</v>
      </c>
      <c r="N84" s="18"/>
      <c r="O84" s="18"/>
      <c r="P84" s="17">
        <f t="shared" si="11"/>
        <v>0</v>
      </c>
      <c r="Q84" s="92">
        <f t="shared" si="7"/>
        <v>0</v>
      </c>
    </row>
    <row r="85" spans="1:17" s="14" customFormat="1" ht="25.5" customHeight="1">
      <c r="A85" s="27">
        <v>6</v>
      </c>
      <c r="B85" s="29" t="s">
        <v>57</v>
      </c>
      <c r="C85" s="12">
        <f>SUM(C86:C105)</f>
        <v>5502273</v>
      </c>
      <c r="D85" s="12">
        <f>SUM(D86:D105)</f>
        <v>613874</v>
      </c>
      <c r="E85" s="30">
        <f t="shared" si="14"/>
        <v>6116147</v>
      </c>
      <c r="F85" s="12">
        <f>SUM(F86:F105)</f>
        <v>1503049.16</v>
      </c>
      <c r="G85" s="12">
        <f>SUM(G86:G105)</f>
        <v>660086.69</v>
      </c>
      <c r="H85" s="30">
        <f t="shared" si="9"/>
        <v>2163135.8499999996</v>
      </c>
      <c r="I85" s="77">
        <f t="shared" si="12"/>
        <v>0.35367623603553017</v>
      </c>
      <c r="J85" s="12">
        <f>SUM(J86:J105)</f>
        <v>5681941.970000001</v>
      </c>
      <c r="K85" s="12">
        <f>SUM(K86:K105)</f>
        <v>669905</v>
      </c>
      <c r="L85" s="30">
        <f t="shared" si="10"/>
        <v>6351846.970000001</v>
      </c>
      <c r="M85" s="7">
        <f t="shared" si="13"/>
        <v>1.0385373291387536</v>
      </c>
      <c r="N85" s="12">
        <f>SUM(N86:N105)</f>
        <v>8220871</v>
      </c>
      <c r="O85" s="12">
        <f>SUM(O86:O105)</f>
        <v>301868</v>
      </c>
      <c r="P85" s="30">
        <f t="shared" si="11"/>
        <v>8522739</v>
      </c>
      <c r="Q85" s="92">
        <f t="shared" si="7"/>
        <v>1.3417733519483703</v>
      </c>
    </row>
    <row r="86" spans="1:17" s="9" customFormat="1" ht="45">
      <c r="A86" s="57"/>
      <c r="B86" s="36" t="s">
        <v>117</v>
      </c>
      <c r="C86" s="18"/>
      <c r="D86" s="18">
        <v>171899</v>
      </c>
      <c r="E86" s="17">
        <f t="shared" si="14"/>
        <v>171899</v>
      </c>
      <c r="F86" s="70"/>
      <c r="G86" s="18">
        <v>164000</v>
      </c>
      <c r="H86" s="17">
        <f t="shared" si="9"/>
        <v>164000</v>
      </c>
      <c r="I86" s="77">
        <f t="shared" si="12"/>
        <v>0.9540485983048185</v>
      </c>
      <c r="J86" s="18"/>
      <c r="K86" s="18">
        <v>171899</v>
      </c>
      <c r="L86" s="17">
        <f t="shared" si="10"/>
        <v>171899</v>
      </c>
      <c r="M86" s="7">
        <f t="shared" si="13"/>
        <v>1</v>
      </c>
      <c r="N86" s="18"/>
      <c r="O86" s="18">
        <v>301868</v>
      </c>
      <c r="P86" s="17">
        <f t="shared" si="11"/>
        <v>301868</v>
      </c>
      <c r="Q86" s="92">
        <f t="shared" si="7"/>
        <v>1.7560776967870668</v>
      </c>
    </row>
    <row r="87" spans="1:17" s="9" customFormat="1" ht="33.75" hidden="1">
      <c r="A87" s="57"/>
      <c r="B87" s="15" t="s">
        <v>58</v>
      </c>
      <c r="C87" s="18"/>
      <c r="D87" s="18"/>
      <c r="E87" s="17">
        <f t="shared" si="14"/>
        <v>0</v>
      </c>
      <c r="F87" s="70"/>
      <c r="G87" s="70"/>
      <c r="H87" s="17">
        <f t="shared" si="9"/>
        <v>0</v>
      </c>
      <c r="I87" s="77"/>
      <c r="J87" s="18"/>
      <c r="K87" s="18"/>
      <c r="L87" s="17">
        <f t="shared" si="10"/>
        <v>0</v>
      </c>
      <c r="M87" s="7"/>
      <c r="N87" s="18"/>
      <c r="O87" s="18"/>
      <c r="P87" s="17">
        <f t="shared" si="11"/>
        <v>0</v>
      </c>
      <c r="Q87" s="92" t="e">
        <f t="shared" si="7"/>
        <v>#DIV/0!</v>
      </c>
    </row>
    <row r="88" spans="1:17" s="9" customFormat="1" ht="22.5">
      <c r="A88" s="57"/>
      <c r="B88" s="31" t="s">
        <v>177</v>
      </c>
      <c r="C88" s="18">
        <v>161559</v>
      </c>
      <c r="D88" s="18"/>
      <c r="E88" s="17">
        <f t="shared" si="14"/>
        <v>161559</v>
      </c>
      <c r="F88" s="70"/>
      <c r="G88" s="70"/>
      <c r="H88" s="17">
        <f t="shared" si="9"/>
        <v>0</v>
      </c>
      <c r="I88" s="77">
        <f t="shared" si="12"/>
        <v>0</v>
      </c>
      <c r="J88" s="18">
        <v>161559</v>
      </c>
      <c r="K88" s="18"/>
      <c r="L88" s="17">
        <f t="shared" si="10"/>
        <v>161559</v>
      </c>
      <c r="M88" s="7">
        <f t="shared" si="13"/>
        <v>1</v>
      </c>
      <c r="N88" s="18"/>
      <c r="O88" s="18"/>
      <c r="P88" s="17">
        <f t="shared" si="11"/>
        <v>0</v>
      </c>
      <c r="Q88" s="92">
        <f t="shared" si="7"/>
        <v>0</v>
      </c>
    </row>
    <row r="89" spans="1:17" s="9" customFormat="1" ht="56.25">
      <c r="A89" s="57"/>
      <c r="B89" s="15" t="s">
        <v>195</v>
      </c>
      <c r="C89" s="18">
        <v>5769</v>
      </c>
      <c r="D89" s="18"/>
      <c r="E89" s="17">
        <f t="shared" si="14"/>
        <v>5769</v>
      </c>
      <c r="F89" s="18">
        <v>5768.65</v>
      </c>
      <c r="G89" s="70"/>
      <c r="H89" s="17">
        <f t="shared" si="9"/>
        <v>5768.65</v>
      </c>
      <c r="I89" s="77"/>
      <c r="J89" s="18">
        <v>5768.65</v>
      </c>
      <c r="K89" s="18"/>
      <c r="L89" s="17">
        <f t="shared" si="10"/>
        <v>5768.65</v>
      </c>
      <c r="M89" s="7">
        <f t="shared" si="13"/>
        <v>0.9999393309065695</v>
      </c>
      <c r="N89" s="18"/>
      <c r="O89" s="18"/>
      <c r="P89" s="17">
        <f t="shared" si="11"/>
        <v>0</v>
      </c>
      <c r="Q89" s="92">
        <f t="shared" si="7"/>
        <v>0</v>
      </c>
    </row>
    <row r="90" spans="1:17" s="9" customFormat="1" ht="33.75">
      <c r="A90" s="57"/>
      <c r="B90" s="36" t="s">
        <v>60</v>
      </c>
      <c r="C90" s="33">
        <v>3900000</v>
      </c>
      <c r="D90" s="33"/>
      <c r="E90" s="17">
        <f t="shared" si="14"/>
        <v>3900000</v>
      </c>
      <c r="F90" s="33">
        <v>0</v>
      </c>
      <c r="G90" s="81"/>
      <c r="H90" s="17">
        <f t="shared" si="9"/>
        <v>0</v>
      </c>
      <c r="I90" s="77">
        <f t="shared" si="12"/>
        <v>0</v>
      </c>
      <c r="J90" s="33">
        <v>3900000</v>
      </c>
      <c r="K90" s="33"/>
      <c r="L90" s="17">
        <f t="shared" si="10"/>
        <v>3900000</v>
      </c>
      <c r="M90" s="7">
        <f t="shared" si="13"/>
        <v>1</v>
      </c>
      <c r="N90" s="33">
        <v>7158000</v>
      </c>
      <c r="O90" s="33"/>
      <c r="P90" s="17">
        <f t="shared" si="11"/>
        <v>7158000</v>
      </c>
      <c r="Q90" s="92">
        <f t="shared" si="7"/>
        <v>1.8353846153846154</v>
      </c>
    </row>
    <row r="91" spans="1:17" s="9" customFormat="1" ht="33.75">
      <c r="A91" s="57"/>
      <c r="B91" s="36" t="s">
        <v>206</v>
      </c>
      <c r="C91" s="33"/>
      <c r="D91" s="33"/>
      <c r="E91" s="17"/>
      <c r="F91" s="33"/>
      <c r="G91" s="81"/>
      <c r="H91" s="17"/>
      <c r="I91" s="77"/>
      <c r="K91" s="33"/>
      <c r="L91" s="17">
        <f t="shared" si="10"/>
        <v>0</v>
      </c>
      <c r="M91" s="7"/>
      <c r="N91" s="33">
        <v>1000000</v>
      </c>
      <c r="O91" s="33"/>
      <c r="P91" s="17">
        <f>SUM(N91:O91)</f>
        <v>1000000</v>
      </c>
      <c r="Q91" s="92"/>
    </row>
    <row r="92" spans="1:17" s="9" customFormat="1" ht="44.25" customHeight="1" hidden="1">
      <c r="A92" s="57"/>
      <c r="B92" s="36" t="s">
        <v>120</v>
      </c>
      <c r="C92" s="33"/>
      <c r="D92" s="33"/>
      <c r="E92" s="17">
        <f t="shared" si="14"/>
        <v>0</v>
      </c>
      <c r="F92" s="81"/>
      <c r="G92" s="81"/>
      <c r="H92" s="17">
        <f t="shared" si="9"/>
        <v>0</v>
      </c>
      <c r="I92" s="77"/>
      <c r="J92" s="33"/>
      <c r="K92" s="33"/>
      <c r="L92" s="17">
        <f t="shared" si="10"/>
        <v>0</v>
      </c>
      <c r="M92" s="7" t="e">
        <f t="shared" si="13"/>
        <v>#DIV/0!</v>
      </c>
      <c r="N92" s="33"/>
      <c r="O92" s="33"/>
      <c r="P92" s="17">
        <f t="shared" si="11"/>
        <v>0</v>
      </c>
      <c r="Q92" s="92"/>
    </row>
    <row r="93" spans="1:17" s="9" customFormat="1" ht="34.5" customHeight="1">
      <c r="A93" s="57"/>
      <c r="B93" s="15" t="s">
        <v>121</v>
      </c>
      <c r="C93" s="33"/>
      <c r="D93" s="33"/>
      <c r="E93" s="17">
        <f t="shared" si="14"/>
        <v>0</v>
      </c>
      <c r="F93" s="81"/>
      <c r="G93" s="33">
        <v>56032.01</v>
      </c>
      <c r="H93" s="17">
        <f t="shared" si="9"/>
        <v>56032.01</v>
      </c>
      <c r="I93" s="77"/>
      <c r="J93" s="33"/>
      <c r="K93" s="33">
        <v>56032</v>
      </c>
      <c r="L93" s="17">
        <f t="shared" si="10"/>
        <v>56032</v>
      </c>
      <c r="M93" s="7" t="e">
        <f t="shared" si="13"/>
        <v>#DIV/0!</v>
      </c>
      <c r="N93" s="33"/>
      <c r="O93" s="33"/>
      <c r="P93" s="17">
        <f t="shared" si="11"/>
        <v>0</v>
      </c>
      <c r="Q93" s="92">
        <f t="shared" si="7"/>
        <v>0</v>
      </c>
    </row>
    <row r="94" spans="1:17" s="9" customFormat="1" ht="22.5" hidden="1">
      <c r="A94" s="57"/>
      <c r="B94" s="15" t="s">
        <v>144</v>
      </c>
      <c r="C94" s="33"/>
      <c r="D94" s="33"/>
      <c r="E94" s="17">
        <f t="shared" si="14"/>
        <v>0</v>
      </c>
      <c r="F94" s="81"/>
      <c r="G94" s="81"/>
      <c r="H94" s="17">
        <f t="shared" si="9"/>
        <v>0</v>
      </c>
      <c r="I94" s="77"/>
      <c r="J94" s="33"/>
      <c r="K94" s="33"/>
      <c r="L94" s="17">
        <f t="shared" si="10"/>
        <v>0</v>
      </c>
      <c r="M94" s="7"/>
      <c r="N94" s="33"/>
      <c r="O94" s="33"/>
      <c r="P94" s="17">
        <f t="shared" si="11"/>
        <v>0</v>
      </c>
      <c r="Q94" s="92"/>
    </row>
    <row r="95" spans="1:17" s="9" customFormat="1" ht="22.5" hidden="1">
      <c r="A95" s="57"/>
      <c r="B95" s="15" t="s">
        <v>145</v>
      </c>
      <c r="C95" s="33"/>
      <c r="D95" s="33"/>
      <c r="E95" s="17">
        <f t="shared" si="14"/>
        <v>0</v>
      </c>
      <c r="F95" s="81"/>
      <c r="G95" s="81"/>
      <c r="H95" s="17">
        <f t="shared" si="9"/>
        <v>0</v>
      </c>
      <c r="I95" s="77"/>
      <c r="J95" s="33"/>
      <c r="K95" s="33"/>
      <c r="L95" s="17">
        <f t="shared" si="10"/>
        <v>0</v>
      </c>
      <c r="M95" s="7"/>
      <c r="N95" s="33"/>
      <c r="O95" s="33"/>
      <c r="P95" s="17">
        <f t="shared" si="11"/>
        <v>0</v>
      </c>
      <c r="Q95" s="92"/>
    </row>
    <row r="96" spans="1:17" s="9" customFormat="1" ht="45" hidden="1">
      <c r="A96" s="57"/>
      <c r="B96" s="15" t="s">
        <v>127</v>
      </c>
      <c r="C96" s="33"/>
      <c r="D96" s="33"/>
      <c r="E96" s="17">
        <f t="shared" si="14"/>
        <v>0</v>
      </c>
      <c r="F96" s="81"/>
      <c r="G96" s="81"/>
      <c r="H96" s="17">
        <f t="shared" si="9"/>
        <v>0</v>
      </c>
      <c r="I96" s="77"/>
      <c r="J96" s="33"/>
      <c r="K96" s="33"/>
      <c r="L96" s="17">
        <f t="shared" si="10"/>
        <v>0</v>
      </c>
      <c r="M96" s="7"/>
      <c r="N96" s="33"/>
      <c r="O96" s="33"/>
      <c r="P96" s="17">
        <f t="shared" si="11"/>
        <v>0</v>
      </c>
      <c r="Q96" s="92" t="e">
        <f t="shared" si="7"/>
        <v>#DIV/0!</v>
      </c>
    </row>
    <row r="97" spans="1:17" s="9" customFormat="1" ht="33.75">
      <c r="A97" s="57"/>
      <c r="B97" s="36" t="s">
        <v>137</v>
      </c>
      <c r="C97" s="33">
        <v>91587</v>
      </c>
      <c r="D97" s="33"/>
      <c r="E97" s="17">
        <f t="shared" si="14"/>
        <v>91587</v>
      </c>
      <c r="F97" s="18">
        <v>2719.13</v>
      </c>
      <c r="G97" s="81"/>
      <c r="H97" s="17">
        <f t="shared" si="9"/>
        <v>2719.13</v>
      </c>
      <c r="I97" s="77">
        <f t="shared" si="12"/>
        <v>0.029689038837389586</v>
      </c>
      <c r="J97" s="33">
        <v>91587</v>
      </c>
      <c r="K97" s="33"/>
      <c r="L97" s="17">
        <f t="shared" si="10"/>
        <v>91587</v>
      </c>
      <c r="M97" s="7">
        <f t="shared" si="13"/>
        <v>1</v>
      </c>
      <c r="N97" s="33">
        <v>42871</v>
      </c>
      <c r="O97" s="33"/>
      <c r="P97" s="17">
        <f t="shared" si="11"/>
        <v>42871</v>
      </c>
      <c r="Q97" s="92">
        <f t="shared" si="7"/>
        <v>0.4680904495179447</v>
      </c>
    </row>
    <row r="98" spans="1:17" s="9" customFormat="1" ht="48.75" customHeight="1">
      <c r="A98" s="57"/>
      <c r="B98" s="36" t="s">
        <v>163</v>
      </c>
      <c r="C98" s="33">
        <v>130000</v>
      </c>
      <c r="D98" s="33"/>
      <c r="E98" s="17">
        <f t="shared" si="14"/>
        <v>130000</v>
      </c>
      <c r="F98" s="18">
        <v>130000</v>
      </c>
      <c r="G98" s="81"/>
      <c r="H98" s="17">
        <f t="shared" si="9"/>
        <v>130000</v>
      </c>
      <c r="I98" s="77">
        <f t="shared" si="12"/>
        <v>1</v>
      </c>
      <c r="J98" s="33">
        <v>130000</v>
      </c>
      <c r="K98" s="33"/>
      <c r="L98" s="17">
        <f t="shared" si="10"/>
        <v>130000</v>
      </c>
      <c r="M98" s="7">
        <f t="shared" si="13"/>
        <v>1</v>
      </c>
      <c r="N98" s="33"/>
      <c r="O98" s="33"/>
      <c r="P98" s="17">
        <f t="shared" si="11"/>
        <v>0</v>
      </c>
      <c r="Q98" s="92">
        <f t="shared" si="7"/>
        <v>0</v>
      </c>
    </row>
    <row r="99" spans="1:17" s="9" customFormat="1" ht="11.25">
      <c r="A99" s="57"/>
      <c r="B99" s="36" t="s">
        <v>164</v>
      </c>
      <c r="C99" s="33">
        <v>100000</v>
      </c>
      <c r="D99" s="33"/>
      <c r="E99" s="17">
        <f t="shared" si="14"/>
        <v>100000</v>
      </c>
      <c r="F99" s="18">
        <v>80000</v>
      </c>
      <c r="G99" s="81"/>
      <c r="H99" s="17">
        <f t="shared" si="9"/>
        <v>80000</v>
      </c>
      <c r="I99" s="77">
        <f t="shared" si="12"/>
        <v>0.8</v>
      </c>
      <c r="J99" s="33">
        <v>100000</v>
      </c>
      <c r="K99" s="33"/>
      <c r="L99" s="17">
        <f t="shared" si="10"/>
        <v>100000</v>
      </c>
      <c r="M99" s="7">
        <f t="shared" si="13"/>
        <v>1</v>
      </c>
      <c r="N99" s="33">
        <v>20000</v>
      </c>
      <c r="O99" s="33"/>
      <c r="P99" s="17">
        <f t="shared" si="11"/>
        <v>20000</v>
      </c>
      <c r="Q99" s="92">
        <f t="shared" si="7"/>
        <v>0.2</v>
      </c>
    </row>
    <row r="100" spans="1:17" s="9" customFormat="1" ht="33.75">
      <c r="A100" s="57"/>
      <c r="B100" s="15" t="s">
        <v>140</v>
      </c>
      <c r="C100" s="33">
        <f>959+5729</f>
        <v>6688</v>
      </c>
      <c r="D100" s="33"/>
      <c r="E100" s="17">
        <f t="shared" si="14"/>
        <v>6688</v>
      </c>
      <c r="F100" s="18">
        <v>1905.36</v>
      </c>
      <c r="G100" s="81"/>
      <c r="H100" s="17">
        <f t="shared" si="9"/>
        <v>1905.36</v>
      </c>
      <c r="I100" s="77">
        <f t="shared" si="12"/>
        <v>0.28489234449760764</v>
      </c>
      <c r="J100" s="18">
        <v>6688</v>
      </c>
      <c r="K100" s="33"/>
      <c r="L100" s="17">
        <f t="shared" si="10"/>
        <v>6688</v>
      </c>
      <c r="M100" s="7">
        <f t="shared" si="13"/>
        <v>1</v>
      </c>
      <c r="N100" s="33"/>
      <c r="O100" s="33"/>
      <c r="P100" s="17">
        <f t="shared" si="11"/>
        <v>0</v>
      </c>
      <c r="Q100" s="92">
        <f t="shared" si="7"/>
        <v>0</v>
      </c>
    </row>
    <row r="101" spans="1:17" s="9" customFormat="1" ht="45">
      <c r="A101" s="57"/>
      <c r="B101" s="36" t="s">
        <v>172</v>
      </c>
      <c r="C101" s="18">
        <f>64046+65100</f>
        <v>129146</v>
      </c>
      <c r="D101" s="18">
        <v>64187</v>
      </c>
      <c r="E101" s="17">
        <f t="shared" si="14"/>
        <v>193333</v>
      </c>
      <c r="F101" s="18">
        <v>125462.7</v>
      </c>
      <c r="G101" s="33">
        <v>62267.3</v>
      </c>
      <c r="H101" s="17">
        <f t="shared" si="9"/>
        <v>187730</v>
      </c>
      <c r="I101" s="77">
        <f t="shared" si="12"/>
        <v>0.9710189155498544</v>
      </c>
      <c r="J101" s="18">
        <f>64046+65100</f>
        <v>129146</v>
      </c>
      <c r="K101" s="18">
        <v>64187</v>
      </c>
      <c r="L101" s="17">
        <f t="shared" si="10"/>
        <v>193333</v>
      </c>
      <c r="M101" s="7">
        <f t="shared" si="13"/>
        <v>1</v>
      </c>
      <c r="N101" s="33"/>
      <c r="O101" s="33"/>
      <c r="P101" s="17">
        <f t="shared" si="11"/>
        <v>0</v>
      </c>
      <c r="Q101" s="92">
        <f t="shared" si="7"/>
        <v>0</v>
      </c>
    </row>
    <row r="102" spans="1:17" s="9" customFormat="1" ht="65.25" customHeight="1">
      <c r="A102" s="57"/>
      <c r="B102" s="36" t="s">
        <v>178</v>
      </c>
      <c r="C102" s="18">
        <v>150000</v>
      </c>
      <c r="D102" s="18"/>
      <c r="E102" s="17">
        <f t="shared" si="14"/>
        <v>150000</v>
      </c>
      <c r="F102" s="18">
        <v>150000</v>
      </c>
      <c r="G102" s="81"/>
      <c r="H102" s="17">
        <f t="shared" si="9"/>
        <v>150000</v>
      </c>
      <c r="I102" s="77">
        <f t="shared" si="12"/>
        <v>1</v>
      </c>
      <c r="J102" s="33">
        <v>150000</v>
      </c>
      <c r="K102" s="33"/>
      <c r="L102" s="17">
        <f t="shared" si="10"/>
        <v>150000</v>
      </c>
      <c r="M102" s="7">
        <f t="shared" si="13"/>
        <v>1</v>
      </c>
      <c r="N102" s="33"/>
      <c r="O102" s="33"/>
      <c r="P102" s="17">
        <f t="shared" si="11"/>
        <v>0</v>
      </c>
      <c r="Q102" s="92">
        <f t="shared" si="7"/>
        <v>0</v>
      </c>
    </row>
    <row r="103" spans="1:17" s="9" customFormat="1" ht="44.25" customHeight="1">
      <c r="A103" s="57"/>
      <c r="B103" s="36" t="s">
        <v>196</v>
      </c>
      <c r="C103" s="18">
        <v>200000</v>
      </c>
      <c r="D103" s="18"/>
      <c r="E103" s="17">
        <f t="shared" si="14"/>
        <v>200000</v>
      </c>
      <c r="F103" s="18">
        <v>200000</v>
      </c>
      <c r="G103" s="81"/>
      <c r="H103" s="17">
        <f t="shared" si="9"/>
        <v>200000</v>
      </c>
      <c r="I103" s="77">
        <f t="shared" si="12"/>
        <v>1</v>
      </c>
      <c r="J103" s="18">
        <v>200000</v>
      </c>
      <c r="K103" s="33"/>
      <c r="L103" s="17">
        <f t="shared" si="10"/>
        <v>200000</v>
      </c>
      <c r="M103" s="7">
        <f t="shared" si="13"/>
        <v>1</v>
      </c>
      <c r="N103" s="33"/>
      <c r="O103" s="33"/>
      <c r="P103" s="17">
        <f t="shared" si="11"/>
        <v>0</v>
      </c>
      <c r="Q103" s="92">
        <f t="shared" si="7"/>
        <v>0</v>
      </c>
    </row>
    <row r="104" spans="1:17" s="19" customFormat="1" ht="56.25">
      <c r="A104" s="56"/>
      <c r="B104" s="36" t="s">
        <v>173</v>
      </c>
      <c r="C104" s="18"/>
      <c r="D104" s="18">
        <v>377788</v>
      </c>
      <c r="E104" s="17">
        <f t="shared" si="14"/>
        <v>377788</v>
      </c>
      <c r="F104" s="70"/>
      <c r="G104" s="18">
        <v>377787.38</v>
      </c>
      <c r="H104" s="17">
        <f t="shared" si="9"/>
        <v>377787.38</v>
      </c>
      <c r="I104" s="77">
        <f t="shared" si="12"/>
        <v>0.9999983588679365</v>
      </c>
      <c r="J104" s="18"/>
      <c r="K104" s="18">
        <v>377787</v>
      </c>
      <c r="L104" s="17">
        <f t="shared" si="10"/>
        <v>377787</v>
      </c>
      <c r="M104" s="7">
        <f t="shared" si="13"/>
        <v>0.9999973530128008</v>
      </c>
      <c r="N104" s="18"/>
      <c r="O104" s="18"/>
      <c r="P104" s="17">
        <f t="shared" si="11"/>
        <v>0</v>
      </c>
      <c r="Q104" s="92">
        <f t="shared" si="7"/>
        <v>0</v>
      </c>
    </row>
    <row r="105" spans="1:17" s="19" customFormat="1" ht="11.25" customHeight="1">
      <c r="A105" s="56"/>
      <c r="B105" s="15" t="s">
        <v>158</v>
      </c>
      <c r="C105" s="33">
        <f>369000+258524</f>
        <v>627524</v>
      </c>
      <c r="D105" s="18"/>
      <c r="E105" s="17">
        <f t="shared" si="14"/>
        <v>627524</v>
      </c>
      <c r="F105" s="18">
        <v>807193.32</v>
      </c>
      <c r="G105" s="70"/>
      <c r="H105" s="17">
        <f t="shared" si="9"/>
        <v>807193.32</v>
      </c>
      <c r="I105" s="77">
        <f t="shared" si="12"/>
        <v>1.2863146588815726</v>
      </c>
      <c r="J105" s="18">
        <v>807193.32</v>
      </c>
      <c r="K105" s="18"/>
      <c r="L105" s="17">
        <f t="shared" si="10"/>
        <v>807193.32</v>
      </c>
      <c r="M105" s="7">
        <f t="shared" si="13"/>
        <v>1.2863146588815726</v>
      </c>
      <c r="N105" s="33"/>
      <c r="O105" s="18"/>
      <c r="P105" s="17">
        <f t="shared" si="11"/>
        <v>0</v>
      </c>
      <c r="Q105" s="92">
        <f t="shared" si="7"/>
        <v>0</v>
      </c>
    </row>
    <row r="106" spans="1:17" s="14" customFormat="1" ht="25.5" customHeight="1">
      <c r="A106" s="27">
        <v>7</v>
      </c>
      <c r="B106" s="29" t="s">
        <v>61</v>
      </c>
      <c r="C106" s="30">
        <f>SUM(C107:C130)</f>
        <v>5537928</v>
      </c>
      <c r="D106" s="30">
        <f>SUM(D107:D130)</f>
        <v>153988572</v>
      </c>
      <c r="E106" s="30">
        <f t="shared" si="14"/>
        <v>159526500</v>
      </c>
      <c r="F106" s="82">
        <f>SUM(F107:F130)</f>
        <v>2106707.31</v>
      </c>
      <c r="G106" s="82">
        <f>SUM(G107:G130)</f>
        <v>114897307.13000001</v>
      </c>
      <c r="H106" s="30">
        <f t="shared" si="9"/>
        <v>117004014.44000001</v>
      </c>
      <c r="I106" s="77">
        <f t="shared" si="12"/>
        <v>0.7334456309139862</v>
      </c>
      <c r="J106" s="30">
        <f>SUM(J107:J130)</f>
        <v>9760405.02</v>
      </c>
      <c r="K106" s="30">
        <f>SUM(K107:K130)</f>
        <v>163914208</v>
      </c>
      <c r="L106" s="30">
        <f t="shared" si="10"/>
        <v>173674613.02</v>
      </c>
      <c r="M106" s="7">
        <f t="shared" si="13"/>
        <v>1.088688167921944</v>
      </c>
      <c r="N106" s="30">
        <f>SUM(N107:N130)</f>
        <v>4670742</v>
      </c>
      <c r="O106" s="30">
        <f>SUM(O107:O130)</f>
        <v>67951028</v>
      </c>
      <c r="P106" s="30">
        <f t="shared" si="11"/>
        <v>72621770</v>
      </c>
      <c r="Q106" s="92">
        <f t="shared" si="7"/>
        <v>0.4181484486258048</v>
      </c>
    </row>
    <row r="107" spans="1:17" s="3" customFormat="1" ht="22.5">
      <c r="A107" s="57"/>
      <c r="B107" s="31" t="s">
        <v>62</v>
      </c>
      <c r="C107" s="18"/>
      <c r="D107" s="18">
        <f>20693109+2537647</f>
        <v>23230756</v>
      </c>
      <c r="E107" s="17">
        <f t="shared" si="14"/>
        <v>23230756</v>
      </c>
      <c r="F107" s="70"/>
      <c r="G107" s="18">
        <v>19453670.96</v>
      </c>
      <c r="H107" s="17">
        <f t="shared" si="9"/>
        <v>19453670.96</v>
      </c>
      <c r="I107" s="77">
        <f t="shared" si="12"/>
        <v>0.8374101540216772</v>
      </c>
      <c r="J107" s="18"/>
      <c r="K107" s="18">
        <v>23230756</v>
      </c>
      <c r="L107" s="17">
        <f t="shared" si="10"/>
        <v>23230756</v>
      </c>
      <c r="M107" s="7">
        <f t="shared" si="13"/>
        <v>1</v>
      </c>
      <c r="N107" s="18"/>
      <c r="O107" s="18">
        <v>13217075</v>
      </c>
      <c r="P107" s="17">
        <f t="shared" si="11"/>
        <v>13217075</v>
      </c>
      <c r="Q107" s="92">
        <f t="shared" si="7"/>
        <v>0.5689472611222812</v>
      </c>
    </row>
    <row r="108" spans="1:17" s="3" customFormat="1" ht="12" customHeight="1">
      <c r="A108" s="57"/>
      <c r="B108" s="31" t="s">
        <v>65</v>
      </c>
      <c r="C108" s="18"/>
      <c r="D108" s="18">
        <f>108870887+24041990-9761490</f>
        <v>123151387</v>
      </c>
      <c r="E108" s="17">
        <f t="shared" si="14"/>
        <v>123151387</v>
      </c>
      <c r="F108" s="70"/>
      <c r="G108" s="18">
        <v>95054659.44</v>
      </c>
      <c r="H108" s="17">
        <f t="shared" si="9"/>
        <v>95054659.44</v>
      </c>
      <c r="I108" s="77">
        <f t="shared" si="12"/>
        <v>0.771852122461276</v>
      </c>
      <c r="J108" s="18"/>
      <c r="K108" s="18">
        <v>132912877</v>
      </c>
      <c r="L108" s="17">
        <f t="shared" si="10"/>
        <v>132912877</v>
      </c>
      <c r="M108" s="7">
        <f t="shared" si="13"/>
        <v>1.0792641499035653</v>
      </c>
      <c r="N108" s="18"/>
      <c r="O108" s="18">
        <f>40366228+9761490</f>
        <v>50127718</v>
      </c>
      <c r="P108" s="17">
        <f t="shared" si="11"/>
        <v>50127718</v>
      </c>
      <c r="Q108" s="92">
        <f t="shared" si="7"/>
        <v>0.3771471894329697</v>
      </c>
    </row>
    <row r="109" spans="1:17" s="3" customFormat="1" ht="22.5" customHeight="1">
      <c r="A109" s="57"/>
      <c r="B109" s="31" t="s">
        <v>161</v>
      </c>
      <c r="C109" s="18"/>
      <c r="D109" s="18">
        <f>6282605+1087381</f>
        <v>7369986</v>
      </c>
      <c r="E109" s="17">
        <f t="shared" si="14"/>
        <v>7369986</v>
      </c>
      <c r="F109" s="70"/>
      <c r="G109" s="70">
        <v>0</v>
      </c>
      <c r="H109" s="17">
        <f t="shared" si="9"/>
        <v>0</v>
      </c>
      <c r="I109" s="77">
        <f t="shared" si="12"/>
        <v>0</v>
      </c>
      <c r="J109" s="18"/>
      <c r="K109" s="18">
        <v>7369986</v>
      </c>
      <c r="L109" s="17">
        <f t="shared" si="10"/>
        <v>7369986</v>
      </c>
      <c r="M109" s="7">
        <f t="shared" si="13"/>
        <v>1</v>
      </c>
      <c r="N109" s="18"/>
      <c r="O109" s="18">
        <v>4594967</v>
      </c>
      <c r="P109" s="17">
        <f t="shared" si="11"/>
        <v>4594967</v>
      </c>
      <c r="Q109" s="92">
        <f t="shared" si="7"/>
        <v>0.6234702481117332</v>
      </c>
    </row>
    <row r="110" spans="1:17" s="3" customFormat="1" ht="23.25" customHeight="1">
      <c r="A110" s="57"/>
      <c r="B110" s="31" t="s">
        <v>177</v>
      </c>
      <c r="C110" s="18">
        <v>484676</v>
      </c>
      <c r="D110" s="18"/>
      <c r="E110" s="17">
        <f t="shared" si="14"/>
        <v>484676</v>
      </c>
      <c r="F110" s="70"/>
      <c r="G110" s="70"/>
      <c r="H110" s="17">
        <f t="shared" si="9"/>
        <v>0</v>
      </c>
      <c r="I110" s="77">
        <f t="shared" si="12"/>
        <v>0</v>
      </c>
      <c r="J110" s="18">
        <v>484676</v>
      </c>
      <c r="K110" s="18"/>
      <c r="L110" s="17">
        <f t="shared" si="10"/>
        <v>484676</v>
      </c>
      <c r="M110" s="7">
        <f t="shared" si="13"/>
        <v>1</v>
      </c>
      <c r="N110" s="18"/>
      <c r="O110" s="18"/>
      <c r="P110" s="17">
        <f t="shared" si="11"/>
        <v>0</v>
      </c>
      <c r="Q110" s="92">
        <f t="shared" si="7"/>
        <v>0</v>
      </c>
    </row>
    <row r="111" spans="1:17" s="3" customFormat="1" ht="33" customHeight="1" hidden="1">
      <c r="A111" s="57"/>
      <c r="B111" s="31" t="s">
        <v>63</v>
      </c>
      <c r="C111" s="18"/>
      <c r="D111" s="18"/>
      <c r="E111" s="17">
        <f t="shared" si="14"/>
        <v>0</v>
      </c>
      <c r="F111" s="70"/>
      <c r="G111" s="70"/>
      <c r="H111" s="17">
        <f t="shared" si="9"/>
        <v>0</v>
      </c>
      <c r="I111" s="77"/>
      <c r="J111" s="18"/>
      <c r="K111" s="18"/>
      <c r="L111" s="17">
        <f t="shared" si="10"/>
        <v>0</v>
      </c>
      <c r="M111" s="7"/>
      <c r="N111" s="18"/>
      <c r="O111" s="18"/>
      <c r="P111" s="17">
        <f t="shared" si="11"/>
        <v>0</v>
      </c>
      <c r="Q111" s="92" t="e">
        <f t="shared" si="7"/>
        <v>#DIV/0!</v>
      </c>
    </row>
    <row r="112" spans="1:17" s="3" customFormat="1" ht="45" hidden="1">
      <c r="A112" s="57"/>
      <c r="B112" s="31" t="s">
        <v>64</v>
      </c>
      <c r="C112" s="18"/>
      <c r="D112" s="18"/>
      <c r="E112" s="17">
        <f t="shared" si="14"/>
        <v>0</v>
      </c>
      <c r="F112" s="70"/>
      <c r="G112" s="70"/>
      <c r="H112" s="17">
        <f t="shared" si="9"/>
        <v>0</v>
      </c>
      <c r="I112" s="77"/>
      <c r="J112" s="18"/>
      <c r="K112" s="18"/>
      <c r="L112" s="17">
        <f t="shared" si="10"/>
        <v>0</v>
      </c>
      <c r="M112" s="7"/>
      <c r="N112" s="18"/>
      <c r="O112" s="18"/>
      <c r="P112" s="17">
        <f t="shared" si="11"/>
        <v>0</v>
      </c>
      <c r="Q112" s="92" t="e">
        <f t="shared" si="7"/>
        <v>#DIV/0!</v>
      </c>
    </row>
    <row r="113" spans="1:17" s="3" customFormat="1" ht="35.25" customHeight="1">
      <c r="A113" s="57"/>
      <c r="B113" s="15" t="s">
        <v>138</v>
      </c>
      <c r="C113" s="18"/>
      <c r="D113" s="18">
        <v>216882</v>
      </c>
      <c r="E113" s="17">
        <f t="shared" si="14"/>
        <v>216882</v>
      </c>
      <c r="F113" s="70"/>
      <c r="G113" s="18">
        <v>214849.26</v>
      </c>
      <c r="H113" s="17">
        <f t="shared" si="9"/>
        <v>214849.26</v>
      </c>
      <c r="I113" s="77">
        <f t="shared" si="12"/>
        <v>0.9906274379616566</v>
      </c>
      <c r="J113" s="18"/>
      <c r="K113" s="18">
        <v>216882</v>
      </c>
      <c r="L113" s="17">
        <f t="shared" si="10"/>
        <v>216882</v>
      </c>
      <c r="M113" s="7">
        <f t="shared" si="13"/>
        <v>1</v>
      </c>
      <c r="N113" s="18"/>
      <c r="O113" s="18"/>
      <c r="P113" s="17">
        <f t="shared" si="11"/>
        <v>0</v>
      </c>
      <c r="Q113" s="92">
        <f t="shared" si="7"/>
        <v>0</v>
      </c>
    </row>
    <row r="114" spans="1:17" s="3" customFormat="1" ht="24" customHeight="1">
      <c r="A114" s="57"/>
      <c r="B114" s="15" t="s">
        <v>162</v>
      </c>
      <c r="C114" s="18">
        <v>99000</v>
      </c>
      <c r="D114" s="18"/>
      <c r="E114" s="17">
        <f t="shared" si="14"/>
        <v>99000</v>
      </c>
      <c r="F114" s="33">
        <v>0</v>
      </c>
      <c r="G114" s="70"/>
      <c r="H114" s="17">
        <f t="shared" si="9"/>
        <v>0</v>
      </c>
      <c r="I114" s="77">
        <f t="shared" si="12"/>
        <v>0</v>
      </c>
      <c r="J114" s="18">
        <v>99000</v>
      </c>
      <c r="K114" s="18"/>
      <c r="L114" s="17">
        <f t="shared" si="10"/>
        <v>99000</v>
      </c>
      <c r="M114" s="7">
        <f t="shared" si="13"/>
        <v>1</v>
      </c>
      <c r="N114" s="18">
        <v>22500</v>
      </c>
      <c r="O114" s="18"/>
      <c r="P114" s="17">
        <f t="shared" si="11"/>
        <v>22500</v>
      </c>
      <c r="Q114" s="92">
        <f t="shared" si="7"/>
        <v>0.22727272727272727</v>
      </c>
    </row>
    <row r="115" spans="1:17" s="3" customFormat="1" ht="24" customHeight="1">
      <c r="A115" s="57"/>
      <c r="B115" s="36" t="s">
        <v>133</v>
      </c>
      <c r="C115" s="18">
        <f>261844-261844+274761</f>
        <v>274761</v>
      </c>
      <c r="D115" s="18"/>
      <c r="E115" s="17">
        <f t="shared" si="14"/>
        <v>274761</v>
      </c>
      <c r="F115" s="18">
        <v>35.85</v>
      </c>
      <c r="G115" s="86"/>
      <c r="H115" s="17">
        <f>SUM(F115:F115)</f>
        <v>35.85</v>
      </c>
      <c r="I115" s="77">
        <f t="shared" si="12"/>
        <v>0.00013047703276665903</v>
      </c>
      <c r="J115" s="18">
        <v>274761</v>
      </c>
      <c r="K115" s="18"/>
      <c r="L115" s="17">
        <f t="shared" si="10"/>
        <v>274761</v>
      </c>
      <c r="M115" s="7">
        <f t="shared" si="13"/>
        <v>1</v>
      </c>
      <c r="N115" s="18">
        <v>128616</v>
      </c>
      <c r="O115" s="18"/>
      <c r="P115" s="17">
        <f t="shared" si="11"/>
        <v>128616</v>
      </c>
      <c r="Q115" s="92">
        <f t="shared" si="7"/>
        <v>0.46810136809809255</v>
      </c>
    </row>
    <row r="116" spans="1:17" s="3" customFormat="1" ht="30.75" customHeight="1">
      <c r="A116" s="57"/>
      <c r="B116" s="15" t="s">
        <v>166</v>
      </c>
      <c r="C116" s="18">
        <f>2442+20323-5729</f>
        <v>17036</v>
      </c>
      <c r="D116" s="18"/>
      <c r="E116" s="17">
        <f t="shared" si="14"/>
        <v>17036</v>
      </c>
      <c r="F116" s="18">
        <v>4853.63</v>
      </c>
      <c r="G116" s="70"/>
      <c r="H116" s="17">
        <f>SUM(F116:G116)</f>
        <v>4853.63</v>
      </c>
      <c r="I116" s="77">
        <f t="shared" si="12"/>
        <v>0.2849043202629725</v>
      </c>
      <c r="J116" s="18">
        <f>2442+20323-5729</f>
        <v>17036</v>
      </c>
      <c r="K116" s="18"/>
      <c r="L116" s="17">
        <f t="shared" si="10"/>
        <v>17036</v>
      </c>
      <c r="M116" s="7">
        <f t="shared" si="13"/>
        <v>1</v>
      </c>
      <c r="N116" s="18"/>
      <c r="O116" s="18"/>
      <c r="P116" s="17">
        <f t="shared" si="11"/>
        <v>0</v>
      </c>
      <c r="Q116" s="92">
        <f t="shared" si="7"/>
        <v>0</v>
      </c>
    </row>
    <row r="117" spans="1:17" s="19" customFormat="1" ht="45">
      <c r="A117" s="56"/>
      <c r="B117" s="15" t="s">
        <v>142</v>
      </c>
      <c r="C117" s="16">
        <f>195738+38472</f>
        <v>234210</v>
      </c>
      <c r="D117" s="16"/>
      <c r="E117" s="17">
        <f t="shared" si="14"/>
        <v>234210</v>
      </c>
      <c r="F117" s="18">
        <v>234209.97</v>
      </c>
      <c r="G117" s="87"/>
      <c r="H117" s="17">
        <f>SUM(F117:F117)</f>
        <v>234209.97</v>
      </c>
      <c r="I117" s="77">
        <f t="shared" si="12"/>
        <v>0.9999998719098245</v>
      </c>
      <c r="J117" s="16">
        <f>195738+38472</f>
        <v>234210</v>
      </c>
      <c r="K117" s="16"/>
      <c r="L117" s="17">
        <f t="shared" si="10"/>
        <v>234210</v>
      </c>
      <c r="M117" s="7">
        <f t="shared" si="13"/>
        <v>1</v>
      </c>
      <c r="N117" s="16"/>
      <c r="O117" s="16"/>
      <c r="P117" s="17">
        <f t="shared" si="11"/>
        <v>0</v>
      </c>
      <c r="Q117" s="92">
        <f t="shared" si="7"/>
        <v>0</v>
      </c>
    </row>
    <row r="118" spans="1:17" s="19" customFormat="1" ht="22.5" customHeight="1">
      <c r="A118" s="56"/>
      <c r="B118" s="15" t="s">
        <v>66</v>
      </c>
      <c r="C118" s="16">
        <f>3722+4383+3105+3485+140+120+169+20000</f>
        <v>35124</v>
      </c>
      <c r="D118" s="16">
        <f>4292+2297+3627+3722+1030+359+284+3950</f>
        <v>19561</v>
      </c>
      <c r="E118" s="17">
        <f t="shared" si="14"/>
        <v>54685</v>
      </c>
      <c r="F118" s="18">
        <v>69883.02</v>
      </c>
      <c r="G118" s="18">
        <v>6031.46</v>
      </c>
      <c r="H118" s="17">
        <f aca="true" t="shared" si="15" ref="H118:H182">SUM(F118:G118)</f>
        <v>75914.48000000001</v>
      </c>
      <c r="I118" s="77">
        <f t="shared" si="12"/>
        <v>1.388213952637835</v>
      </c>
      <c r="J118" s="18">
        <v>69883.02</v>
      </c>
      <c r="K118" s="16">
        <f>4292+2297+3627+3722+1030+359+284</f>
        <v>15611</v>
      </c>
      <c r="L118" s="17">
        <f t="shared" si="10"/>
        <v>85494.02</v>
      </c>
      <c r="M118" s="7">
        <f t="shared" si="13"/>
        <v>1.5633906921459269</v>
      </c>
      <c r="N118" s="16">
        <v>5793</v>
      </c>
      <c r="O118" s="16">
        <v>11268</v>
      </c>
      <c r="P118" s="17">
        <f t="shared" si="11"/>
        <v>17061</v>
      </c>
      <c r="Q118" s="92">
        <f t="shared" si="7"/>
        <v>0.19955781702626685</v>
      </c>
    </row>
    <row r="119" spans="1:17" s="19" customFormat="1" ht="43.5" customHeight="1">
      <c r="A119" s="56"/>
      <c r="B119" s="15" t="s">
        <v>123</v>
      </c>
      <c r="C119" s="16"/>
      <c r="D119" s="16"/>
      <c r="E119" s="17">
        <f t="shared" si="14"/>
        <v>0</v>
      </c>
      <c r="F119" s="71"/>
      <c r="G119" s="16">
        <v>168096.01</v>
      </c>
      <c r="H119" s="17">
        <f t="shared" si="15"/>
        <v>168096.01</v>
      </c>
      <c r="I119" s="77"/>
      <c r="J119" s="16"/>
      <c r="K119" s="16">
        <v>168096</v>
      </c>
      <c r="L119" s="17">
        <f t="shared" si="10"/>
        <v>168096</v>
      </c>
      <c r="M119" s="7"/>
      <c r="N119" s="16"/>
      <c r="O119" s="16"/>
      <c r="P119" s="17">
        <f t="shared" si="11"/>
        <v>0</v>
      </c>
      <c r="Q119" s="92">
        <f t="shared" si="7"/>
        <v>0</v>
      </c>
    </row>
    <row r="120" spans="1:17" s="19" customFormat="1" ht="12.75" customHeight="1">
      <c r="A120" s="56"/>
      <c r="B120" s="15" t="s">
        <v>125</v>
      </c>
      <c r="C120" s="16">
        <v>120800</v>
      </c>
      <c r="D120" s="16"/>
      <c r="E120" s="17">
        <f t="shared" si="14"/>
        <v>120800</v>
      </c>
      <c r="F120" s="18">
        <v>65537.9</v>
      </c>
      <c r="G120" s="71"/>
      <c r="H120" s="17">
        <f t="shared" si="15"/>
        <v>65537.9</v>
      </c>
      <c r="I120" s="77">
        <f t="shared" si="12"/>
        <v>0.5425322847682119</v>
      </c>
      <c r="J120" s="18">
        <v>120800</v>
      </c>
      <c r="K120" s="16"/>
      <c r="L120" s="17">
        <f t="shared" si="10"/>
        <v>120800</v>
      </c>
      <c r="M120" s="7">
        <f t="shared" si="13"/>
        <v>1</v>
      </c>
      <c r="N120" s="16">
        <v>147600</v>
      </c>
      <c r="O120" s="16"/>
      <c r="P120" s="17">
        <f t="shared" si="11"/>
        <v>147600</v>
      </c>
      <c r="Q120" s="92">
        <f t="shared" si="7"/>
        <v>1.2218543046357615</v>
      </c>
    </row>
    <row r="121" spans="1:17" s="19" customFormat="1" ht="11.25">
      <c r="A121" s="56"/>
      <c r="B121" s="15" t="s">
        <v>135</v>
      </c>
      <c r="C121" s="16">
        <v>140179</v>
      </c>
      <c r="D121" s="16"/>
      <c r="E121" s="17">
        <f t="shared" si="14"/>
        <v>140179</v>
      </c>
      <c r="F121" s="18">
        <v>723669.44</v>
      </c>
      <c r="G121" s="71"/>
      <c r="H121" s="17">
        <f t="shared" si="15"/>
        <v>723669.44</v>
      </c>
      <c r="I121" s="77">
        <f t="shared" si="12"/>
        <v>5.162466845961235</v>
      </c>
      <c r="J121" s="16">
        <f>151189+663385</f>
        <v>814574</v>
      </c>
      <c r="K121" s="16"/>
      <c r="L121" s="17">
        <f t="shared" si="10"/>
        <v>814574</v>
      </c>
      <c r="M121" s="7">
        <f t="shared" si="13"/>
        <v>5.810955991981681</v>
      </c>
      <c r="N121" s="16">
        <v>57847</v>
      </c>
      <c r="O121" s="16"/>
      <c r="P121" s="17">
        <f t="shared" si="11"/>
        <v>57847</v>
      </c>
      <c r="Q121" s="92">
        <f t="shared" si="7"/>
        <v>0.0710150336249377</v>
      </c>
    </row>
    <row r="122" spans="1:17" s="19" customFormat="1" ht="33.75" hidden="1">
      <c r="A122" s="56"/>
      <c r="B122" s="36" t="s">
        <v>120</v>
      </c>
      <c r="C122" s="16"/>
      <c r="D122" s="16"/>
      <c r="E122" s="17">
        <f t="shared" si="14"/>
        <v>0</v>
      </c>
      <c r="F122" s="71"/>
      <c r="G122" s="71"/>
      <c r="H122" s="17">
        <f t="shared" si="15"/>
        <v>0</v>
      </c>
      <c r="I122" s="77"/>
      <c r="J122" s="16"/>
      <c r="K122" s="16"/>
      <c r="L122" s="17">
        <f t="shared" si="10"/>
        <v>0</v>
      </c>
      <c r="M122" s="7"/>
      <c r="N122" s="16"/>
      <c r="O122" s="16"/>
      <c r="P122" s="17">
        <f t="shared" si="11"/>
        <v>0</v>
      </c>
      <c r="Q122" s="92" t="e">
        <f t="shared" si="7"/>
        <v>#DIV/0!</v>
      </c>
    </row>
    <row r="123" spans="1:17" s="19" customFormat="1" ht="22.5" hidden="1">
      <c r="A123" s="56"/>
      <c r="B123" s="36" t="s">
        <v>122</v>
      </c>
      <c r="C123" s="16"/>
      <c r="D123" s="16"/>
      <c r="E123" s="17">
        <f t="shared" si="14"/>
        <v>0</v>
      </c>
      <c r="F123" s="71"/>
      <c r="G123" s="71"/>
      <c r="H123" s="17">
        <f t="shared" si="15"/>
        <v>0</v>
      </c>
      <c r="I123" s="77"/>
      <c r="J123" s="16"/>
      <c r="K123" s="16"/>
      <c r="L123" s="17">
        <f t="shared" si="10"/>
        <v>0</v>
      </c>
      <c r="M123" s="7"/>
      <c r="N123" s="16"/>
      <c r="O123" s="16"/>
      <c r="P123" s="17">
        <f t="shared" si="11"/>
        <v>0</v>
      </c>
      <c r="Q123" s="92" t="e">
        <f t="shared" si="7"/>
        <v>#DIV/0!</v>
      </c>
    </row>
    <row r="124" spans="1:17" s="3" customFormat="1" ht="33.75" hidden="1">
      <c r="A124" s="57"/>
      <c r="B124" s="31" t="s">
        <v>67</v>
      </c>
      <c r="C124" s="18"/>
      <c r="D124" s="64"/>
      <c r="E124" s="17">
        <f t="shared" si="14"/>
        <v>0</v>
      </c>
      <c r="F124" s="70"/>
      <c r="G124" s="81"/>
      <c r="H124" s="17">
        <f t="shared" si="15"/>
        <v>0</v>
      </c>
      <c r="I124" s="77"/>
      <c r="J124" s="18"/>
      <c r="K124" s="64"/>
      <c r="L124" s="17">
        <f t="shared" si="10"/>
        <v>0</v>
      </c>
      <c r="M124" s="7"/>
      <c r="N124" s="18"/>
      <c r="O124" s="64"/>
      <c r="P124" s="17">
        <f t="shared" si="11"/>
        <v>0</v>
      </c>
      <c r="Q124" s="92" t="e">
        <f t="shared" si="7"/>
        <v>#DIV/0!</v>
      </c>
    </row>
    <row r="125" spans="1:17" s="3" customFormat="1" ht="33" customHeight="1">
      <c r="A125" s="57"/>
      <c r="B125" s="31" t="s">
        <v>129</v>
      </c>
      <c r="C125" s="18">
        <f>156559+19949</f>
        <v>176508</v>
      </c>
      <c r="D125" s="64"/>
      <c r="E125" s="17">
        <f t="shared" si="14"/>
        <v>176508</v>
      </c>
      <c r="F125" s="18">
        <v>92802.3</v>
      </c>
      <c r="G125" s="81"/>
      <c r="H125" s="17">
        <f t="shared" si="15"/>
        <v>92802.3</v>
      </c>
      <c r="I125" s="77">
        <f t="shared" si="12"/>
        <v>0.5257682371337277</v>
      </c>
      <c r="J125" s="18">
        <v>176508</v>
      </c>
      <c r="K125" s="64"/>
      <c r="L125" s="17">
        <f t="shared" si="10"/>
        <v>176508</v>
      </c>
      <c r="M125" s="7">
        <f t="shared" si="13"/>
        <v>1</v>
      </c>
      <c r="N125" s="18">
        <v>41193</v>
      </c>
      <c r="O125" s="64"/>
      <c r="P125" s="17">
        <f t="shared" si="11"/>
        <v>41193</v>
      </c>
      <c r="Q125" s="92">
        <f t="shared" si="7"/>
        <v>0.23337752396491943</v>
      </c>
    </row>
    <row r="126" spans="1:17" s="3" customFormat="1" ht="33" customHeight="1">
      <c r="A126" s="57"/>
      <c r="B126" s="31" t="s">
        <v>155</v>
      </c>
      <c r="C126" s="18">
        <v>35784</v>
      </c>
      <c r="D126" s="64"/>
      <c r="E126" s="17">
        <f t="shared" si="14"/>
        <v>35784</v>
      </c>
      <c r="F126" s="18">
        <v>31544.93</v>
      </c>
      <c r="G126" s="81"/>
      <c r="H126" s="17">
        <f t="shared" si="15"/>
        <v>31544.93</v>
      </c>
      <c r="I126" s="77">
        <f t="shared" si="12"/>
        <v>0.8815372792309412</v>
      </c>
      <c r="J126" s="18">
        <v>35797</v>
      </c>
      <c r="K126" s="64"/>
      <c r="L126" s="17">
        <f t="shared" si="10"/>
        <v>35797</v>
      </c>
      <c r="M126" s="7">
        <f t="shared" si="13"/>
        <v>1.0003632908562485</v>
      </c>
      <c r="N126" s="18">
        <v>33006</v>
      </c>
      <c r="O126" s="64"/>
      <c r="P126" s="17">
        <f t="shared" si="11"/>
        <v>33006</v>
      </c>
      <c r="Q126" s="92">
        <f t="shared" si="7"/>
        <v>0.9220325725619465</v>
      </c>
    </row>
    <row r="127" spans="1:17" s="3" customFormat="1" ht="9.75" customHeight="1">
      <c r="A127" s="57"/>
      <c r="B127" s="36" t="s">
        <v>164</v>
      </c>
      <c r="C127" s="18">
        <f>407552+303510</f>
        <v>711062</v>
      </c>
      <c r="D127" s="64"/>
      <c r="E127" s="17">
        <f t="shared" si="14"/>
        <v>711062</v>
      </c>
      <c r="F127" s="18">
        <v>22500.47</v>
      </c>
      <c r="G127" s="81"/>
      <c r="H127" s="17">
        <f t="shared" si="15"/>
        <v>22500.47</v>
      </c>
      <c r="I127" s="77">
        <f t="shared" si="12"/>
        <v>0.03164347131473767</v>
      </c>
      <c r="J127" s="18">
        <f>407552+303510</f>
        <v>711062</v>
      </c>
      <c r="K127" s="64"/>
      <c r="L127" s="17">
        <f t="shared" si="10"/>
        <v>711062</v>
      </c>
      <c r="M127" s="7">
        <f t="shared" si="13"/>
        <v>1</v>
      </c>
      <c r="N127" s="18">
        <v>26470</v>
      </c>
      <c r="O127" s="64"/>
      <c r="P127" s="17">
        <f t="shared" si="11"/>
        <v>26470</v>
      </c>
      <c r="Q127" s="92">
        <f t="shared" si="7"/>
        <v>0.03722600842120659</v>
      </c>
    </row>
    <row r="128" spans="1:17" s="3" customFormat="1" ht="67.5">
      <c r="A128" s="57"/>
      <c r="B128" s="36" t="s">
        <v>168</v>
      </c>
      <c r="C128" s="18">
        <f>797194-100000</f>
        <v>697194</v>
      </c>
      <c r="D128" s="64"/>
      <c r="E128" s="17">
        <f t="shared" si="14"/>
        <v>697194</v>
      </c>
      <c r="F128" s="70"/>
      <c r="G128" s="81"/>
      <c r="H128" s="17">
        <f t="shared" si="15"/>
        <v>0</v>
      </c>
      <c r="I128" s="77">
        <f t="shared" si="12"/>
        <v>0</v>
      </c>
      <c r="J128" s="18">
        <v>3760504</v>
      </c>
      <c r="K128" s="64"/>
      <c r="L128" s="17">
        <f t="shared" si="10"/>
        <v>3760504</v>
      </c>
      <c r="M128" s="7">
        <f t="shared" si="13"/>
        <v>5.393769883274956</v>
      </c>
      <c r="N128" s="18">
        <v>4207717</v>
      </c>
      <c r="O128" s="64"/>
      <c r="P128" s="17">
        <f t="shared" si="11"/>
        <v>4207717</v>
      </c>
      <c r="Q128" s="92">
        <f t="shared" si="7"/>
        <v>1.1189236868249575</v>
      </c>
    </row>
    <row r="129" spans="1:17" s="3" customFormat="1" ht="34.5" customHeight="1">
      <c r="A129" s="57"/>
      <c r="B129" s="31" t="s">
        <v>143</v>
      </c>
      <c r="C129" s="18">
        <f>2980264-18670-450000</f>
        <v>2511594</v>
      </c>
      <c r="D129" s="64"/>
      <c r="E129" s="17">
        <f t="shared" si="14"/>
        <v>2511594</v>
      </c>
      <c r="F129" s="18">
        <v>861669.8</v>
      </c>
      <c r="G129" s="81"/>
      <c r="H129" s="17">
        <f t="shared" si="15"/>
        <v>861669.8</v>
      </c>
      <c r="I129" s="77">
        <f t="shared" si="12"/>
        <v>0.34307686672288595</v>
      </c>
      <c r="J129" s="18">
        <f>2980264-18670</f>
        <v>2961594</v>
      </c>
      <c r="K129" s="64"/>
      <c r="L129" s="17">
        <f t="shared" si="10"/>
        <v>2961594</v>
      </c>
      <c r="M129" s="7">
        <f t="shared" si="13"/>
        <v>1.1791690854493202</v>
      </c>
      <c r="N129" s="18"/>
      <c r="O129" s="64"/>
      <c r="P129" s="17">
        <f t="shared" si="11"/>
        <v>0</v>
      </c>
      <c r="Q129" s="92">
        <f t="shared" si="7"/>
        <v>0</v>
      </c>
    </row>
    <row r="130" spans="1:17" s="3" customFormat="1" ht="56.25" hidden="1">
      <c r="A130" s="57"/>
      <c r="B130" s="31" t="s">
        <v>128</v>
      </c>
      <c r="C130" s="18"/>
      <c r="D130" s="18"/>
      <c r="E130" s="17">
        <f t="shared" si="14"/>
        <v>0</v>
      </c>
      <c r="F130" s="70"/>
      <c r="G130" s="70"/>
      <c r="H130" s="17">
        <f t="shared" si="15"/>
        <v>0</v>
      </c>
      <c r="I130" s="77" t="e">
        <f t="shared" si="12"/>
        <v>#DIV/0!</v>
      </c>
      <c r="J130" s="18"/>
      <c r="K130" s="18"/>
      <c r="L130" s="17">
        <f t="shared" si="10"/>
        <v>0</v>
      </c>
      <c r="M130" s="7" t="e">
        <f t="shared" si="13"/>
        <v>#DIV/0!</v>
      </c>
      <c r="N130" s="18"/>
      <c r="O130" s="18"/>
      <c r="P130" s="17">
        <f t="shared" si="11"/>
        <v>0</v>
      </c>
      <c r="Q130" s="92" t="e">
        <f t="shared" si="7"/>
        <v>#DIV/0!</v>
      </c>
    </row>
    <row r="131" spans="1:17" s="14" customFormat="1" ht="24">
      <c r="A131" s="27">
        <v>8</v>
      </c>
      <c r="B131" s="29" t="s">
        <v>68</v>
      </c>
      <c r="C131" s="30">
        <f>SUM(C132:C133)</f>
        <v>220706067</v>
      </c>
      <c r="D131" s="30">
        <f>SUM(D132:D133)</f>
        <v>61528024</v>
      </c>
      <c r="E131" s="30">
        <f t="shared" si="14"/>
        <v>282234091</v>
      </c>
      <c r="F131" s="116">
        <f>SUM(F132:F133)</f>
        <v>203834045.81</v>
      </c>
      <c r="G131" s="116">
        <f>SUM(G132:G133)</f>
        <v>56128889.97</v>
      </c>
      <c r="H131" s="30">
        <f t="shared" si="15"/>
        <v>259962935.78</v>
      </c>
      <c r="I131" s="77">
        <f t="shared" si="12"/>
        <v>0.9210897764295951</v>
      </c>
      <c r="J131" s="30">
        <f>SUM(J132:J133)</f>
        <v>220706067</v>
      </c>
      <c r="K131" s="30">
        <f>SUM(K132:K133)</f>
        <v>61528024</v>
      </c>
      <c r="L131" s="30">
        <f t="shared" si="10"/>
        <v>282234091</v>
      </c>
      <c r="M131" s="7">
        <f t="shared" si="13"/>
        <v>1</v>
      </c>
      <c r="N131" s="30">
        <f>SUM(N132:N133)</f>
        <v>226135446</v>
      </c>
      <c r="O131" s="30">
        <f>SUM(O132:O133)</f>
        <v>61907709</v>
      </c>
      <c r="P131" s="30">
        <f t="shared" si="11"/>
        <v>288043155</v>
      </c>
      <c r="Q131" s="92">
        <f t="shared" si="7"/>
        <v>1.0205824320492878</v>
      </c>
    </row>
    <row r="132" spans="1:17" s="3" customFormat="1" ht="21" customHeight="1">
      <c r="A132" s="57"/>
      <c r="B132" s="31" t="s">
        <v>69</v>
      </c>
      <c r="C132" s="18">
        <f>192563267+6357000</f>
        <v>198920267</v>
      </c>
      <c r="D132" s="18">
        <f>54494022+1803802</f>
        <v>56297824</v>
      </c>
      <c r="E132" s="17">
        <f t="shared" si="14"/>
        <v>255218091</v>
      </c>
      <c r="F132" s="18">
        <v>182798374</v>
      </c>
      <c r="G132" s="18">
        <v>51730628</v>
      </c>
      <c r="H132" s="17">
        <f t="shared" si="15"/>
        <v>234529002</v>
      </c>
      <c r="I132" s="77">
        <f t="shared" si="12"/>
        <v>0.9189356486488256</v>
      </c>
      <c r="J132" s="18">
        <f>192563267+6357000</f>
        <v>198920267</v>
      </c>
      <c r="K132" s="18">
        <f>54494022+1803802</f>
        <v>56297824</v>
      </c>
      <c r="L132" s="17">
        <f t="shared" si="10"/>
        <v>255218091</v>
      </c>
      <c r="M132" s="7">
        <f t="shared" si="13"/>
        <v>1</v>
      </c>
      <c r="N132" s="18">
        <v>202235446</v>
      </c>
      <c r="O132" s="18">
        <v>56807709</v>
      </c>
      <c r="P132" s="17">
        <f t="shared" si="11"/>
        <v>259043155</v>
      </c>
      <c r="Q132" s="92">
        <f t="shared" si="7"/>
        <v>1.0149874328462083</v>
      </c>
    </row>
    <row r="133" spans="1:17" s="3" customFormat="1" ht="21" customHeight="1">
      <c r="A133" s="57"/>
      <c r="B133" s="31" t="s">
        <v>70</v>
      </c>
      <c r="C133" s="18">
        <f>11585800+10200000</f>
        <v>21785800</v>
      </c>
      <c r="D133" s="18">
        <f>2830200+2400000</f>
        <v>5230200</v>
      </c>
      <c r="E133" s="17">
        <f t="shared" si="14"/>
        <v>27016000</v>
      </c>
      <c r="F133" s="18">
        <v>21035671.81</v>
      </c>
      <c r="G133" s="18">
        <v>4398261.97</v>
      </c>
      <c r="H133" s="17">
        <f t="shared" si="15"/>
        <v>25433933.779999997</v>
      </c>
      <c r="I133" s="77">
        <f t="shared" si="12"/>
        <v>0.9414396572401539</v>
      </c>
      <c r="J133" s="18">
        <f>11585800+10200000</f>
        <v>21785800</v>
      </c>
      <c r="K133" s="18">
        <f>2830200+2400000</f>
        <v>5230200</v>
      </c>
      <c r="L133" s="17">
        <f t="shared" si="10"/>
        <v>27016000</v>
      </c>
      <c r="M133" s="7">
        <f t="shared" si="13"/>
        <v>1</v>
      </c>
      <c r="N133" s="18">
        <v>23900000</v>
      </c>
      <c r="O133" s="18">
        <v>5100000</v>
      </c>
      <c r="P133" s="17">
        <f t="shared" si="11"/>
        <v>29000000</v>
      </c>
      <c r="Q133" s="92">
        <f t="shared" si="7"/>
        <v>1.0734379626887771</v>
      </c>
    </row>
    <row r="134" spans="1:17" s="11" customFormat="1" ht="12" customHeight="1">
      <c r="A134" s="129" t="s">
        <v>71</v>
      </c>
      <c r="B134" s="129"/>
      <c r="C134" s="41">
        <f>SUM(C135:C138)</f>
        <v>76069611</v>
      </c>
      <c r="D134" s="41">
        <f>SUM(D135:D138)</f>
        <v>73121401</v>
      </c>
      <c r="E134" s="41">
        <f t="shared" si="14"/>
        <v>149191012</v>
      </c>
      <c r="F134" s="41">
        <f>SUM(F135:F138)</f>
        <v>76069611</v>
      </c>
      <c r="G134" s="41">
        <f>SUM(G135:G138)</f>
        <v>72688758</v>
      </c>
      <c r="H134" s="41">
        <f t="shared" si="15"/>
        <v>148758369</v>
      </c>
      <c r="I134" s="77">
        <f t="shared" si="12"/>
        <v>0.9971000732939596</v>
      </c>
      <c r="J134" s="41">
        <f>SUM(J135:J138)</f>
        <v>76069611</v>
      </c>
      <c r="K134" s="41">
        <f>SUM(K135:K138)</f>
        <v>73121401</v>
      </c>
      <c r="L134" s="41">
        <f t="shared" si="10"/>
        <v>149191012</v>
      </c>
      <c r="M134" s="7">
        <f t="shared" si="13"/>
        <v>1</v>
      </c>
      <c r="N134" s="41">
        <f>SUM(N135:N138)</f>
        <v>78324875</v>
      </c>
      <c r="O134" s="41">
        <f>SUM(O135:O138)</f>
        <v>73914546</v>
      </c>
      <c r="P134" s="41">
        <f t="shared" si="11"/>
        <v>152239421</v>
      </c>
      <c r="Q134" s="92">
        <f t="shared" si="7"/>
        <v>1.0204329266162495</v>
      </c>
    </row>
    <row r="135" spans="1:17" s="2" customFormat="1" ht="11.25">
      <c r="A135" s="57">
        <v>1</v>
      </c>
      <c r="B135" s="31" t="s">
        <v>72</v>
      </c>
      <c r="C135" s="18">
        <f>74276349+1577255+159682+5850+50475</f>
        <v>76069611</v>
      </c>
      <c r="D135" s="18">
        <f>65436897-197944+13307+36650+40720</f>
        <v>65329630</v>
      </c>
      <c r="E135" s="17">
        <f t="shared" si="14"/>
        <v>141399241</v>
      </c>
      <c r="F135" s="18">
        <v>76069611</v>
      </c>
      <c r="G135" s="18">
        <v>65329630</v>
      </c>
      <c r="H135" s="17">
        <f t="shared" si="15"/>
        <v>141399241</v>
      </c>
      <c r="I135" s="77">
        <f t="shared" si="12"/>
        <v>1</v>
      </c>
      <c r="J135" s="18">
        <v>76069611</v>
      </c>
      <c r="K135" s="18">
        <v>65329630</v>
      </c>
      <c r="L135" s="17">
        <f t="shared" si="10"/>
        <v>141399241</v>
      </c>
      <c r="M135" s="7">
        <f t="shared" si="13"/>
        <v>1</v>
      </c>
      <c r="N135" s="18">
        <v>78324875</v>
      </c>
      <c r="O135" s="18">
        <v>67364398</v>
      </c>
      <c r="P135" s="17">
        <f t="shared" si="11"/>
        <v>145689273</v>
      </c>
      <c r="Q135" s="92">
        <f t="shared" si="7"/>
        <v>1.0303398516827966</v>
      </c>
    </row>
    <row r="136" spans="1:17" s="2" customFormat="1" ht="18.75" customHeight="1">
      <c r="A136" s="57">
        <v>2</v>
      </c>
      <c r="B136" s="31" t="s">
        <v>165</v>
      </c>
      <c r="C136" s="18"/>
      <c r="D136" s="18">
        <v>2600000</v>
      </c>
      <c r="E136" s="17">
        <f t="shared" si="14"/>
        <v>2600000</v>
      </c>
      <c r="F136" s="70"/>
      <c r="G136" s="18">
        <v>2600000</v>
      </c>
      <c r="H136" s="17">
        <f t="shared" si="15"/>
        <v>2600000</v>
      </c>
      <c r="I136" s="77">
        <f t="shared" si="12"/>
        <v>1</v>
      </c>
      <c r="J136" s="18"/>
      <c r="K136" s="18">
        <v>2600000</v>
      </c>
      <c r="L136" s="17">
        <f t="shared" si="10"/>
        <v>2600000</v>
      </c>
      <c r="M136" s="7">
        <f t="shared" si="13"/>
        <v>1</v>
      </c>
      <c r="N136" s="18"/>
      <c r="O136" s="18"/>
      <c r="P136" s="17">
        <f t="shared" si="11"/>
        <v>0</v>
      </c>
      <c r="Q136" s="92">
        <f t="shared" si="7"/>
        <v>0</v>
      </c>
    </row>
    <row r="137" spans="1:17" s="2" customFormat="1" ht="11.25" hidden="1">
      <c r="A137" s="57">
        <v>3</v>
      </c>
      <c r="B137" s="35" t="s">
        <v>73</v>
      </c>
      <c r="C137" s="18"/>
      <c r="D137" s="18"/>
      <c r="E137" s="17">
        <f t="shared" si="14"/>
        <v>0</v>
      </c>
      <c r="F137" s="70"/>
      <c r="G137" s="70"/>
      <c r="H137" s="17">
        <f t="shared" si="15"/>
        <v>0</v>
      </c>
      <c r="I137" s="77" t="e">
        <f t="shared" si="12"/>
        <v>#DIV/0!</v>
      </c>
      <c r="J137" s="18"/>
      <c r="K137" s="18"/>
      <c r="L137" s="17">
        <f t="shared" si="10"/>
        <v>0</v>
      </c>
      <c r="M137" s="7" t="e">
        <f t="shared" si="13"/>
        <v>#DIV/0!</v>
      </c>
      <c r="N137" s="18"/>
      <c r="O137" s="18"/>
      <c r="P137" s="17">
        <f t="shared" si="11"/>
        <v>0</v>
      </c>
      <c r="Q137" s="92" t="e">
        <f t="shared" si="7"/>
        <v>#DIV/0!</v>
      </c>
    </row>
    <row r="138" spans="1:17" s="2" customFormat="1" ht="10.5" customHeight="1">
      <c r="A138" s="57">
        <v>3</v>
      </c>
      <c r="B138" s="35" t="s">
        <v>74</v>
      </c>
      <c r="C138" s="18"/>
      <c r="D138" s="18">
        <v>5191771</v>
      </c>
      <c r="E138" s="17">
        <f t="shared" si="14"/>
        <v>5191771</v>
      </c>
      <c r="F138" s="70"/>
      <c r="G138" s="18">
        <v>4759128</v>
      </c>
      <c r="H138" s="17">
        <f t="shared" si="15"/>
        <v>4759128</v>
      </c>
      <c r="I138" s="77">
        <f t="shared" si="12"/>
        <v>0.9166675494739657</v>
      </c>
      <c r="J138" s="18"/>
      <c r="K138" s="18">
        <v>5191771</v>
      </c>
      <c r="L138" s="17">
        <f t="shared" si="10"/>
        <v>5191771</v>
      </c>
      <c r="M138" s="7">
        <f t="shared" si="13"/>
        <v>1</v>
      </c>
      <c r="N138" s="18"/>
      <c r="O138" s="18">
        <v>6550148</v>
      </c>
      <c r="P138" s="17">
        <f t="shared" si="11"/>
        <v>6550148</v>
      </c>
      <c r="Q138" s="92">
        <f aca="true" t="shared" si="16" ref="Q138:Q205">P138/L138</f>
        <v>1.2616403920743038</v>
      </c>
    </row>
    <row r="139" spans="1:17" s="42" customFormat="1" ht="29.25" customHeight="1">
      <c r="A139" s="131" t="s">
        <v>75</v>
      </c>
      <c r="B139" s="131"/>
      <c r="C139" s="40">
        <f>C140+C169+C176</f>
        <v>52691221</v>
      </c>
      <c r="D139" s="40">
        <f>D140+D169+D176</f>
        <v>15212551</v>
      </c>
      <c r="E139" s="41">
        <f t="shared" si="14"/>
        <v>67903772</v>
      </c>
      <c r="F139" s="83">
        <f>F140+F169+F176</f>
        <v>47728349</v>
      </c>
      <c r="G139" s="83">
        <f>G140+G169+G176</f>
        <v>14175305</v>
      </c>
      <c r="H139" s="41">
        <f t="shared" si="15"/>
        <v>61903654</v>
      </c>
      <c r="I139" s="77">
        <f t="shared" si="12"/>
        <v>0.9116379278606201</v>
      </c>
      <c r="J139" s="40">
        <f>J140+J169+J176</f>
        <v>52694221</v>
      </c>
      <c r="K139" s="40">
        <f>K140+K169+K176</f>
        <v>15214572</v>
      </c>
      <c r="L139" s="41">
        <f t="shared" si="10"/>
        <v>67908793</v>
      </c>
      <c r="M139" s="7">
        <f t="shared" si="13"/>
        <v>1.0000739428731589</v>
      </c>
      <c r="N139" s="40">
        <f>N140+N169+N176</f>
        <v>46658514</v>
      </c>
      <c r="O139" s="40">
        <f>O140+O169+O176</f>
        <v>16596270</v>
      </c>
      <c r="P139" s="41">
        <f t="shared" si="11"/>
        <v>63254784</v>
      </c>
      <c r="Q139" s="92">
        <f t="shared" si="16"/>
        <v>0.9314667689646612</v>
      </c>
    </row>
    <row r="140" spans="1:17" s="44" customFormat="1" ht="12">
      <c r="A140" s="59">
        <v>1</v>
      </c>
      <c r="B140" s="43" t="s">
        <v>76</v>
      </c>
      <c r="C140" s="12">
        <f>SUM(C141:C146,C155:C168)</f>
        <v>47842755</v>
      </c>
      <c r="D140" s="12">
        <f>SUM(D141:D146,D155:D168)</f>
        <v>13445845</v>
      </c>
      <c r="E140" s="30">
        <f t="shared" si="14"/>
        <v>61288600</v>
      </c>
      <c r="F140" s="79">
        <f>SUM(F141:F146,F155:F168)</f>
        <v>43163154</v>
      </c>
      <c r="G140" s="79">
        <f>SUM(G141:G146,G155:G168)</f>
        <v>12728672</v>
      </c>
      <c r="H140" s="30">
        <f t="shared" si="15"/>
        <v>55891826</v>
      </c>
      <c r="I140" s="77">
        <f t="shared" si="12"/>
        <v>0.9119448967670987</v>
      </c>
      <c r="J140" s="12">
        <f>SUM(J141:J146,J155:J168)</f>
        <v>47842755</v>
      </c>
      <c r="K140" s="12">
        <f>SUM(K141:K146,K155:K168)</f>
        <v>13447866</v>
      </c>
      <c r="L140" s="30">
        <f aca="true" t="shared" si="17" ref="L140:M172">SUM(J140:K140)</f>
        <v>61290621</v>
      </c>
      <c r="M140" s="7">
        <f t="shared" si="13"/>
        <v>1.0000329751373012</v>
      </c>
      <c r="N140" s="12">
        <f>SUM(N141:N146,N155:N168)</f>
        <v>43801010</v>
      </c>
      <c r="O140" s="12">
        <f>SUM(O141:O146,O155:O168)</f>
        <v>15512070</v>
      </c>
      <c r="P140" s="30">
        <f aca="true" t="shared" si="18" ref="P140:P204">SUM(N140:O140)</f>
        <v>59313080</v>
      </c>
      <c r="Q140" s="92">
        <f t="shared" si="16"/>
        <v>0.9677350144649375</v>
      </c>
    </row>
    <row r="141" spans="1:17" s="2" customFormat="1" ht="25.5" customHeight="1">
      <c r="A141" s="57"/>
      <c r="B141" s="45" t="s">
        <v>141</v>
      </c>
      <c r="C141" s="18"/>
      <c r="D141" s="18">
        <f>522500+37000+7000+41139+7700</f>
        <v>615339</v>
      </c>
      <c r="E141" s="17">
        <f t="shared" si="14"/>
        <v>615339</v>
      </c>
      <c r="F141" s="70"/>
      <c r="G141" s="18">
        <v>584410</v>
      </c>
      <c r="H141" s="17">
        <f t="shared" si="15"/>
        <v>584410</v>
      </c>
      <c r="I141" s="77">
        <f t="shared" si="12"/>
        <v>0.9497366492291242</v>
      </c>
      <c r="J141" s="18"/>
      <c r="K141" s="18">
        <v>615339</v>
      </c>
      <c r="L141" s="17">
        <f t="shared" si="17"/>
        <v>615339</v>
      </c>
      <c r="M141" s="7">
        <f t="shared" si="13"/>
        <v>1</v>
      </c>
      <c r="N141" s="18"/>
      <c r="O141" s="18">
        <f>717200</f>
        <v>717200</v>
      </c>
      <c r="P141" s="17">
        <f t="shared" si="18"/>
        <v>717200</v>
      </c>
      <c r="Q141" s="92">
        <f t="shared" si="16"/>
        <v>1.165536395385308</v>
      </c>
    </row>
    <row r="142" spans="1:17" s="2" customFormat="1" ht="22.5" hidden="1">
      <c r="A142" s="57"/>
      <c r="B142" s="45" t="s">
        <v>134</v>
      </c>
      <c r="C142" s="18"/>
      <c r="D142" s="18"/>
      <c r="E142" s="17">
        <f t="shared" si="14"/>
        <v>0</v>
      </c>
      <c r="F142" s="70"/>
      <c r="G142" s="18"/>
      <c r="H142" s="17">
        <f t="shared" si="15"/>
        <v>0</v>
      </c>
      <c r="I142" s="77" t="e">
        <f aca="true" t="shared" si="19" ref="I142:I161">H142/E142</f>
        <v>#DIV/0!</v>
      </c>
      <c r="J142" s="18"/>
      <c r="K142" s="18"/>
      <c r="L142" s="17">
        <f t="shared" si="17"/>
        <v>0</v>
      </c>
      <c r="M142" s="7" t="e">
        <f aca="true" t="shared" si="20" ref="M142:M177">L142/E142</f>
        <v>#DIV/0!</v>
      </c>
      <c r="N142" s="18"/>
      <c r="O142" s="18"/>
      <c r="P142" s="17">
        <f t="shared" si="18"/>
        <v>0</v>
      </c>
      <c r="Q142" s="92" t="e">
        <f t="shared" si="16"/>
        <v>#DIV/0!</v>
      </c>
    </row>
    <row r="143" spans="1:17" s="2" customFormat="1" ht="22.5" hidden="1">
      <c r="A143" s="57"/>
      <c r="B143" s="45" t="s">
        <v>146</v>
      </c>
      <c r="C143" s="18"/>
      <c r="D143" s="18"/>
      <c r="E143" s="17">
        <f t="shared" si="14"/>
        <v>0</v>
      </c>
      <c r="F143" s="70"/>
      <c r="G143" s="18"/>
      <c r="H143" s="17">
        <f t="shared" si="15"/>
        <v>0</v>
      </c>
      <c r="I143" s="77" t="e">
        <f t="shared" si="19"/>
        <v>#DIV/0!</v>
      </c>
      <c r="J143" s="18"/>
      <c r="K143" s="18"/>
      <c r="L143" s="17">
        <f t="shared" si="17"/>
        <v>0</v>
      </c>
      <c r="M143" s="7" t="e">
        <f t="shared" si="20"/>
        <v>#DIV/0!</v>
      </c>
      <c r="N143" s="18"/>
      <c r="O143" s="18"/>
      <c r="P143" s="17">
        <f t="shared" si="18"/>
        <v>0</v>
      </c>
      <c r="Q143" s="92" t="e">
        <f t="shared" si="16"/>
        <v>#DIV/0!</v>
      </c>
    </row>
    <row r="144" spans="1:17" s="3" customFormat="1" ht="22.5" customHeight="1">
      <c r="A144" s="57"/>
      <c r="B144" s="31" t="s">
        <v>190</v>
      </c>
      <c r="C144" s="18"/>
      <c r="D144" s="18">
        <f>8462000+210000+66000+36750+525437-150600+4852-105000+50000-260000+126746</f>
        <v>8966185</v>
      </c>
      <c r="E144" s="17">
        <f t="shared" si="14"/>
        <v>8966185</v>
      </c>
      <c r="F144" s="70"/>
      <c r="G144" s="18">
        <v>8823746</v>
      </c>
      <c r="H144" s="17">
        <f t="shared" si="15"/>
        <v>8823746</v>
      </c>
      <c r="I144" s="77">
        <f t="shared" si="19"/>
        <v>0.9841137562965743</v>
      </c>
      <c r="J144" s="18"/>
      <c r="K144" s="18">
        <v>8966185</v>
      </c>
      <c r="L144" s="17">
        <f t="shared" si="17"/>
        <v>8966185</v>
      </c>
      <c r="M144" s="17">
        <f t="shared" si="17"/>
        <v>17932370</v>
      </c>
      <c r="N144" s="18"/>
      <c r="O144" s="18">
        <f>10590000</f>
        <v>10590000</v>
      </c>
      <c r="P144" s="17">
        <f t="shared" si="18"/>
        <v>10590000</v>
      </c>
      <c r="Q144" s="92">
        <f t="shared" si="16"/>
        <v>1.1811043381326618</v>
      </c>
    </row>
    <row r="145" spans="1:17" s="3" customFormat="1" ht="24.75" customHeight="1">
      <c r="A145" s="57"/>
      <c r="B145" s="31" t="s">
        <v>191</v>
      </c>
      <c r="C145" s="18"/>
      <c r="D145" s="18">
        <f>260000+25000</f>
        <v>285000</v>
      </c>
      <c r="E145" s="17">
        <f t="shared" si="14"/>
        <v>285000</v>
      </c>
      <c r="F145" s="70"/>
      <c r="G145" s="18">
        <v>235000</v>
      </c>
      <c r="H145" s="17">
        <f t="shared" si="15"/>
        <v>235000</v>
      </c>
      <c r="I145" s="77">
        <f t="shared" si="19"/>
        <v>0.8245614035087719</v>
      </c>
      <c r="J145" s="18"/>
      <c r="K145" s="18">
        <v>285000</v>
      </c>
      <c r="L145" s="17">
        <f t="shared" si="17"/>
        <v>285000</v>
      </c>
      <c r="M145" s="7"/>
      <c r="N145" s="18"/>
      <c r="O145" s="18">
        <v>200000</v>
      </c>
      <c r="P145" s="17">
        <f t="shared" si="18"/>
        <v>200000</v>
      </c>
      <c r="Q145" s="92">
        <f t="shared" si="16"/>
        <v>0.7017543859649122</v>
      </c>
    </row>
    <row r="146" spans="1:17" s="3" customFormat="1" ht="15.75" customHeight="1">
      <c r="A146" s="57"/>
      <c r="B146" s="31" t="s">
        <v>77</v>
      </c>
      <c r="C146" s="18">
        <f>SUM(C147:C154)</f>
        <v>46316054</v>
      </c>
      <c r="D146" s="18">
        <f>SUM(D147:D154)</f>
        <v>612000</v>
      </c>
      <c r="E146" s="17">
        <f aca="true" t="shared" si="21" ref="E146:E201">SUM(C146:D146)</f>
        <v>46928054</v>
      </c>
      <c r="F146" s="70">
        <f>SUM(F147:F154)</f>
        <v>41940190</v>
      </c>
      <c r="G146" s="70">
        <f>SUM(G147:G154)</f>
        <v>498950</v>
      </c>
      <c r="H146" s="17">
        <f t="shared" si="15"/>
        <v>42439140</v>
      </c>
      <c r="I146" s="77">
        <f t="shared" si="19"/>
        <v>0.9043447657130637</v>
      </c>
      <c r="J146" s="18">
        <f>SUM(J147:J154)</f>
        <v>46316054</v>
      </c>
      <c r="K146" s="18">
        <f>SUM(K147:K154)</f>
        <v>612000</v>
      </c>
      <c r="L146" s="17">
        <f t="shared" si="17"/>
        <v>46928054</v>
      </c>
      <c r="M146" s="7">
        <f t="shared" si="20"/>
        <v>1</v>
      </c>
      <c r="N146" s="18">
        <f>SUM(N147:N154)</f>
        <v>42414800</v>
      </c>
      <c r="O146" s="18">
        <f>SUM(O147:O154)</f>
        <v>612000</v>
      </c>
      <c r="P146" s="17">
        <f t="shared" si="18"/>
        <v>43026800</v>
      </c>
      <c r="Q146" s="92">
        <f t="shared" si="16"/>
        <v>0.9168673390974192</v>
      </c>
    </row>
    <row r="147" spans="1:17" s="9" customFormat="1" ht="11.25">
      <c r="A147" s="54"/>
      <c r="B147" s="47" t="s">
        <v>78</v>
      </c>
      <c r="C147" s="24">
        <f>792000+14400+91100</f>
        <v>897500</v>
      </c>
      <c r="D147" s="24">
        <f>327000</f>
        <v>327000</v>
      </c>
      <c r="E147" s="23">
        <f t="shared" si="21"/>
        <v>1224500</v>
      </c>
      <c r="F147" s="24">
        <v>821200</v>
      </c>
      <c r="G147" s="24">
        <v>245250</v>
      </c>
      <c r="H147" s="23">
        <f t="shared" si="15"/>
        <v>1066450</v>
      </c>
      <c r="I147" s="77">
        <f t="shared" si="19"/>
        <v>0.8709269089424255</v>
      </c>
      <c r="J147" s="24">
        <v>897500</v>
      </c>
      <c r="K147" s="24">
        <v>327000</v>
      </c>
      <c r="L147" s="23">
        <f t="shared" si="17"/>
        <v>1224500</v>
      </c>
      <c r="M147" s="7">
        <f t="shared" si="20"/>
        <v>1</v>
      </c>
      <c r="N147" s="24">
        <v>1008000</v>
      </c>
      <c r="O147" s="24">
        <v>335000</v>
      </c>
      <c r="P147" s="23">
        <f t="shared" si="18"/>
        <v>1343000</v>
      </c>
      <c r="Q147" s="92">
        <f t="shared" si="16"/>
        <v>1.096774193548387</v>
      </c>
    </row>
    <row r="148" spans="1:17" s="9" customFormat="1" ht="11.25">
      <c r="A148" s="54"/>
      <c r="B148" s="47" t="s">
        <v>79</v>
      </c>
      <c r="C148" s="24">
        <f>657760-171120</f>
        <v>486640</v>
      </c>
      <c r="D148" s="24"/>
      <c r="E148" s="23">
        <f t="shared" si="21"/>
        <v>486640</v>
      </c>
      <c r="F148" s="24">
        <v>473150</v>
      </c>
      <c r="G148" s="80"/>
      <c r="H148" s="23">
        <f t="shared" si="15"/>
        <v>473150</v>
      </c>
      <c r="I148" s="77">
        <f t="shared" si="19"/>
        <v>0.9722793029755055</v>
      </c>
      <c r="J148" s="24">
        <v>486640</v>
      </c>
      <c r="K148" s="24"/>
      <c r="L148" s="23">
        <f t="shared" si="17"/>
        <v>486640</v>
      </c>
      <c r="M148" s="7">
        <f t="shared" si="20"/>
        <v>1</v>
      </c>
      <c r="N148" s="24">
        <v>587600</v>
      </c>
      <c r="O148" s="24"/>
      <c r="P148" s="23">
        <f t="shared" si="18"/>
        <v>587600</v>
      </c>
      <c r="Q148" s="92">
        <f t="shared" si="16"/>
        <v>1.207463422653296</v>
      </c>
    </row>
    <row r="149" spans="1:17" s="9" customFormat="1" ht="11.25">
      <c r="A149" s="54"/>
      <c r="B149" s="47" t="s">
        <v>80</v>
      </c>
      <c r="C149" s="24">
        <v>5360000</v>
      </c>
      <c r="D149" s="24"/>
      <c r="E149" s="23">
        <f t="shared" si="21"/>
        <v>5360000</v>
      </c>
      <c r="F149" s="24">
        <v>4659590</v>
      </c>
      <c r="G149" s="80"/>
      <c r="H149" s="23">
        <f t="shared" si="15"/>
        <v>4659590</v>
      </c>
      <c r="I149" s="77">
        <f t="shared" si="19"/>
        <v>0.8693264925373134</v>
      </c>
      <c r="J149" s="24">
        <v>5360000</v>
      </c>
      <c r="K149" s="24"/>
      <c r="L149" s="23">
        <f t="shared" si="17"/>
        <v>5360000</v>
      </c>
      <c r="M149" s="7">
        <f t="shared" si="20"/>
        <v>1</v>
      </c>
      <c r="N149" s="24">
        <v>5450000</v>
      </c>
      <c r="O149" s="24"/>
      <c r="P149" s="23">
        <f t="shared" si="18"/>
        <v>5450000</v>
      </c>
      <c r="Q149" s="92">
        <f t="shared" si="16"/>
        <v>1.0167910447761195</v>
      </c>
    </row>
    <row r="150" spans="1:17" s="9" customFormat="1" ht="11.25">
      <c r="A150" s="54"/>
      <c r="B150" s="47" t="s">
        <v>81</v>
      </c>
      <c r="C150" s="24">
        <f>47000000-7900000</f>
        <v>39100000</v>
      </c>
      <c r="D150" s="24"/>
      <c r="E150" s="23">
        <f t="shared" si="21"/>
        <v>39100000</v>
      </c>
      <c r="F150" s="24">
        <v>35600000</v>
      </c>
      <c r="G150" s="80"/>
      <c r="H150" s="23">
        <f t="shared" si="15"/>
        <v>35600000</v>
      </c>
      <c r="I150" s="77">
        <f t="shared" si="19"/>
        <v>0.9104859335038363</v>
      </c>
      <c r="J150" s="24">
        <v>39100000</v>
      </c>
      <c r="K150" s="24"/>
      <c r="L150" s="23">
        <f t="shared" si="17"/>
        <v>39100000</v>
      </c>
      <c r="M150" s="7">
        <f t="shared" si="20"/>
        <v>1</v>
      </c>
      <c r="N150" s="24">
        <v>34853800</v>
      </c>
      <c r="O150" s="24"/>
      <c r="P150" s="23">
        <f t="shared" si="18"/>
        <v>34853800</v>
      </c>
      <c r="Q150" s="92">
        <f t="shared" si="16"/>
        <v>0.8914015345268542</v>
      </c>
    </row>
    <row r="151" spans="1:17" s="9" customFormat="1" ht="21.75" customHeight="1">
      <c r="A151" s="54"/>
      <c r="B151" s="47" t="s">
        <v>157</v>
      </c>
      <c r="C151" s="24">
        <v>6270</v>
      </c>
      <c r="D151" s="24"/>
      <c r="E151" s="23">
        <f t="shared" si="21"/>
        <v>6270</v>
      </c>
      <c r="F151" s="24">
        <v>6270</v>
      </c>
      <c r="G151" s="80"/>
      <c r="H151" s="23">
        <f t="shared" si="15"/>
        <v>6270</v>
      </c>
      <c r="I151" s="77">
        <f t="shared" si="19"/>
        <v>1</v>
      </c>
      <c r="J151" s="24">
        <v>6270</v>
      </c>
      <c r="K151" s="24"/>
      <c r="L151" s="23">
        <f t="shared" si="17"/>
        <v>6270</v>
      </c>
      <c r="M151" s="7">
        <f t="shared" si="20"/>
        <v>1</v>
      </c>
      <c r="N151" s="24"/>
      <c r="O151" s="24"/>
      <c r="P151" s="23">
        <f t="shared" si="18"/>
        <v>0</v>
      </c>
      <c r="Q151" s="92">
        <f t="shared" si="16"/>
        <v>0</v>
      </c>
    </row>
    <row r="152" spans="1:17" s="9" customFormat="1" ht="11.25">
      <c r="A152" s="54"/>
      <c r="B152" s="47" t="s">
        <v>82</v>
      </c>
      <c r="C152" s="24">
        <f>344500+85000+36144</f>
        <v>465644</v>
      </c>
      <c r="D152" s="24"/>
      <c r="E152" s="23">
        <f t="shared" si="21"/>
        <v>465644</v>
      </c>
      <c r="F152" s="24">
        <v>379980</v>
      </c>
      <c r="G152" s="80"/>
      <c r="H152" s="23">
        <f t="shared" si="15"/>
        <v>379980</v>
      </c>
      <c r="I152" s="77">
        <f t="shared" si="19"/>
        <v>0.8160311310786781</v>
      </c>
      <c r="J152" s="24">
        <v>465644</v>
      </c>
      <c r="K152" s="24"/>
      <c r="L152" s="23">
        <f t="shared" si="17"/>
        <v>465644</v>
      </c>
      <c r="M152" s="7">
        <f t="shared" si="20"/>
        <v>1</v>
      </c>
      <c r="N152" s="24">
        <v>515400</v>
      </c>
      <c r="O152" s="24"/>
      <c r="P152" s="23">
        <f t="shared" si="18"/>
        <v>515400</v>
      </c>
      <c r="Q152" s="92">
        <f t="shared" si="16"/>
        <v>1.106854163266358</v>
      </c>
    </row>
    <row r="153" spans="1:17" s="9" customFormat="1" ht="33.75" hidden="1">
      <c r="A153" s="54"/>
      <c r="B153" s="47" t="s">
        <v>147</v>
      </c>
      <c r="C153" s="24"/>
      <c r="D153" s="24"/>
      <c r="E153" s="23">
        <f t="shared" si="21"/>
        <v>0</v>
      </c>
      <c r="F153" s="80"/>
      <c r="G153" s="80"/>
      <c r="H153" s="23">
        <f t="shared" si="15"/>
        <v>0</v>
      </c>
      <c r="I153" s="77" t="e">
        <f t="shared" si="19"/>
        <v>#DIV/0!</v>
      </c>
      <c r="J153" s="24"/>
      <c r="K153" s="24"/>
      <c r="L153" s="23">
        <f t="shared" si="17"/>
        <v>0</v>
      </c>
      <c r="M153" s="7" t="e">
        <f t="shared" si="20"/>
        <v>#DIV/0!</v>
      </c>
      <c r="N153" s="24"/>
      <c r="O153" s="24"/>
      <c r="P153" s="23">
        <f t="shared" si="18"/>
        <v>0</v>
      </c>
      <c r="Q153" s="92" t="e">
        <f t="shared" si="16"/>
        <v>#DIV/0!</v>
      </c>
    </row>
    <row r="154" spans="1:17" s="9" customFormat="1" ht="21.75" customHeight="1">
      <c r="A154" s="54"/>
      <c r="B154" s="47" t="s">
        <v>83</v>
      </c>
      <c r="C154" s="24"/>
      <c r="D154" s="24">
        <f>275000+10000</f>
        <v>285000</v>
      </c>
      <c r="E154" s="23">
        <f t="shared" si="21"/>
        <v>285000</v>
      </c>
      <c r="F154" s="80"/>
      <c r="G154" s="24">
        <v>253700</v>
      </c>
      <c r="H154" s="23">
        <f t="shared" si="15"/>
        <v>253700</v>
      </c>
      <c r="I154" s="77">
        <f t="shared" si="19"/>
        <v>0.8901754385964912</v>
      </c>
      <c r="J154" s="24"/>
      <c r="K154" s="24">
        <v>285000</v>
      </c>
      <c r="L154" s="23">
        <f t="shared" si="17"/>
        <v>285000</v>
      </c>
      <c r="M154" s="7">
        <f t="shared" si="20"/>
        <v>1</v>
      </c>
      <c r="N154" s="24"/>
      <c r="O154" s="24">
        <v>277000</v>
      </c>
      <c r="P154" s="23">
        <f t="shared" si="18"/>
        <v>277000</v>
      </c>
      <c r="Q154" s="92">
        <f t="shared" si="16"/>
        <v>0.9719298245614035</v>
      </c>
    </row>
    <row r="155" spans="1:17" s="3" customFormat="1" ht="15" customHeight="1">
      <c r="A155" s="57"/>
      <c r="B155" s="31" t="s">
        <v>84</v>
      </c>
      <c r="C155" s="18"/>
      <c r="D155" s="18">
        <f>1932080-429000</f>
        <v>1503080</v>
      </c>
      <c r="E155" s="17">
        <f t="shared" si="21"/>
        <v>1503080</v>
      </c>
      <c r="F155" s="70"/>
      <c r="G155" s="18">
        <v>1484818</v>
      </c>
      <c r="H155" s="17">
        <f t="shared" si="15"/>
        <v>1484818</v>
      </c>
      <c r="I155" s="77">
        <f t="shared" si="19"/>
        <v>0.9878502807568459</v>
      </c>
      <c r="J155" s="18"/>
      <c r="K155" s="18">
        <v>1503080</v>
      </c>
      <c r="L155" s="17">
        <f t="shared" si="17"/>
        <v>1503080</v>
      </c>
      <c r="M155" s="7">
        <f t="shared" si="20"/>
        <v>1</v>
      </c>
      <c r="N155" s="18"/>
      <c r="O155" s="18">
        <v>2376470</v>
      </c>
      <c r="P155" s="17">
        <f t="shared" si="18"/>
        <v>2376470</v>
      </c>
      <c r="Q155" s="92">
        <f t="shared" si="16"/>
        <v>1.5810668760145834</v>
      </c>
    </row>
    <row r="156" spans="1:17" s="3" customFormat="1" ht="22.5" customHeight="1">
      <c r="A156" s="57"/>
      <c r="B156" s="31" t="s">
        <v>131</v>
      </c>
      <c r="C156" s="18">
        <v>28000</v>
      </c>
      <c r="D156" s="18"/>
      <c r="E156" s="17">
        <f t="shared" si="21"/>
        <v>28000</v>
      </c>
      <c r="F156" s="18">
        <v>28000</v>
      </c>
      <c r="G156" s="70"/>
      <c r="H156" s="17">
        <f t="shared" si="15"/>
        <v>28000</v>
      </c>
      <c r="I156" s="77">
        <f t="shared" si="19"/>
        <v>1</v>
      </c>
      <c r="J156" s="18">
        <v>28000</v>
      </c>
      <c r="K156" s="18"/>
      <c r="L156" s="17">
        <f t="shared" si="17"/>
        <v>28000</v>
      </c>
      <c r="M156" s="7">
        <f t="shared" si="20"/>
        <v>1</v>
      </c>
      <c r="N156" s="18">
        <v>28700</v>
      </c>
      <c r="O156" s="18"/>
      <c r="P156" s="17">
        <f t="shared" si="18"/>
        <v>28700</v>
      </c>
      <c r="Q156" s="92">
        <f t="shared" si="16"/>
        <v>1.025</v>
      </c>
    </row>
    <row r="157" spans="1:17" s="3" customFormat="1" ht="44.25" customHeight="1">
      <c r="A157" s="57"/>
      <c r="B157" s="31" t="s">
        <v>148</v>
      </c>
      <c r="C157" s="18">
        <f>638+450</f>
        <v>1088</v>
      </c>
      <c r="D157" s="18"/>
      <c r="E157" s="17">
        <f t="shared" si="21"/>
        <v>1088</v>
      </c>
      <c r="F157" s="18">
        <v>1088</v>
      </c>
      <c r="G157" s="70"/>
      <c r="H157" s="17">
        <f t="shared" si="15"/>
        <v>1088</v>
      </c>
      <c r="I157" s="77">
        <f t="shared" si="19"/>
        <v>1</v>
      </c>
      <c r="J157" s="18">
        <v>1088</v>
      </c>
      <c r="K157" s="18"/>
      <c r="L157" s="17">
        <f t="shared" si="17"/>
        <v>1088</v>
      </c>
      <c r="M157" s="7">
        <f t="shared" si="20"/>
        <v>1</v>
      </c>
      <c r="N157" s="18"/>
      <c r="O157" s="18"/>
      <c r="P157" s="17">
        <f t="shared" si="18"/>
        <v>0</v>
      </c>
      <c r="Q157" s="92">
        <f t="shared" si="16"/>
        <v>0</v>
      </c>
    </row>
    <row r="158" spans="1:17" s="3" customFormat="1" ht="21.75" customHeight="1">
      <c r="A158" s="57"/>
      <c r="B158" s="31" t="s">
        <v>136</v>
      </c>
      <c r="C158" s="18">
        <f>1151500+5000+44000</f>
        <v>1200500</v>
      </c>
      <c r="D158" s="18">
        <v>538800</v>
      </c>
      <c r="E158" s="17">
        <f t="shared" si="21"/>
        <v>1739300</v>
      </c>
      <c r="F158" s="70">
        <v>900000</v>
      </c>
      <c r="G158" s="70">
        <v>405000</v>
      </c>
      <c r="H158" s="17">
        <f t="shared" si="15"/>
        <v>1305000</v>
      </c>
      <c r="I158" s="77">
        <f t="shared" si="19"/>
        <v>0.750301845570057</v>
      </c>
      <c r="J158" s="18">
        <v>1200500</v>
      </c>
      <c r="K158" s="18">
        <v>538800</v>
      </c>
      <c r="L158" s="17">
        <f t="shared" si="17"/>
        <v>1739300</v>
      </c>
      <c r="M158" s="7">
        <f t="shared" si="20"/>
        <v>1</v>
      </c>
      <c r="N158" s="18">
        <v>1319000</v>
      </c>
      <c r="O158" s="18">
        <v>542800</v>
      </c>
      <c r="P158" s="17">
        <f t="shared" si="18"/>
        <v>1861800</v>
      </c>
      <c r="Q158" s="92">
        <f t="shared" si="16"/>
        <v>1.0704306330132811</v>
      </c>
    </row>
    <row r="159" spans="1:17" s="3" customFormat="1" ht="11.25" hidden="1">
      <c r="A159" s="57"/>
      <c r="B159" s="31" t="s">
        <v>85</v>
      </c>
      <c r="C159" s="18"/>
      <c r="D159" s="18"/>
      <c r="E159" s="17">
        <f t="shared" si="21"/>
        <v>0</v>
      </c>
      <c r="F159" s="70"/>
      <c r="G159" s="70"/>
      <c r="H159" s="17">
        <f t="shared" si="15"/>
        <v>0</v>
      </c>
      <c r="I159" s="77"/>
      <c r="J159" s="18"/>
      <c r="K159" s="18"/>
      <c r="L159" s="17">
        <f t="shared" si="17"/>
        <v>0</v>
      </c>
      <c r="M159" s="7"/>
      <c r="N159" s="18"/>
      <c r="O159" s="18"/>
      <c r="P159" s="17">
        <f t="shared" si="18"/>
        <v>0</v>
      </c>
      <c r="Q159" s="92"/>
    </row>
    <row r="160" spans="1:17" s="3" customFormat="1" ht="11.25" hidden="1">
      <c r="A160" s="57"/>
      <c r="B160" s="31" t="s">
        <v>149</v>
      </c>
      <c r="C160" s="18"/>
      <c r="D160" s="18"/>
      <c r="E160" s="17">
        <f t="shared" si="21"/>
        <v>0</v>
      </c>
      <c r="F160" s="70"/>
      <c r="G160" s="70"/>
      <c r="H160" s="17">
        <f t="shared" si="15"/>
        <v>0</v>
      </c>
      <c r="I160" s="77"/>
      <c r="J160" s="18"/>
      <c r="K160" s="18"/>
      <c r="L160" s="17">
        <f t="shared" si="17"/>
        <v>0</v>
      </c>
      <c r="M160" s="7"/>
      <c r="N160" s="18"/>
      <c r="O160" s="18"/>
      <c r="P160" s="17">
        <f t="shared" si="18"/>
        <v>0</v>
      </c>
      <c r="Q160" s="92"/>
    </row>
    <row r="161" spans="1:17" s="3" customFormat="1" ht="11.25">
      <c r="A161" s="57"/>
      <c r="B161" s="31" t="s">
        <v>86</v>
      </c>
      <c r="C161" s="18">
        <f>130043+118215+10000</f>
        <v>258258</v>
      </c>
      <c r="D161" s="18"/>
      <c r="E161" s="17">
        <f t="shared" si="21"/>
        <v>258258</v>
      </c>
      <c r="F161" s="18">
        <v>258258</v>
      </c>
      <c r="G161" s="70"/>
      <c r="H161" s="17">
        <f t="shared" si="15"/>
        <v>258258</v>
      </c>
      <c r="I161" s="77">
        <f t="shared" si="19"/>
        <v>1</v>
      </c>
      <c r="J161" s="18">
        <v>258258</v>
      </c>
      <c r="K161" s="18"/>
      <c r="L161" s="17">
        <f t="shared" si="17"/>
        <v>258258</v>
      </c>
      <c r="M161" s="7">
        <f t="shared" si="20"/>
        <v>1</v>
      </c>
      <c r="N161" s="18"/>
      <c r="O161" s="18"/>
      <c r="P161" s="17">
        <f t="shared" si="18"/>
        <v>0</v>
      </c>
      <c r="Q161" s="92">
        <f t="shared" si="16"/>
        <v>0</v>
      </c>
    </row>
    <row r="162" spans="1:17" s="3" customFormat="1" ht="15" customHeight="1" hidden="1">
      <c r="A162" s="57"/>
      <c r="B162" s="31" t="s">
        <v>87</v>
      </c>
      <c r="C162" s="18"/>
      <c r="D162" s="18"/>
      <c r="E162" s="17">
        <f t="shared" si="21"/>
        <v>0</v>
      </c>
      <c r="F162" s="70"/>
      <c r="G162" s="70"/>
      <c r="H162" s="17">
        <f t="shared" si="15"/>
        <v>0</v>
      </c>
      <c r="I162" s="77"/>
      <c r="J162" s="18"/>
      <c r="K162" s="18"/>
      <c r="L162" s="17">
        <f t="shared" si="17"/>
        <v>0</v>
      </c>
      <c r="M162" s="7"/>
      <c r="N162" s="18"/>
      <c r="O162" s="18"/>
      <c r="P162" s="17">
        <f t="shared" si="18"/>
        <v>0</v>
      </c>
      <c r="Q162" s="92"/>
    </row>
    <row r="163" spans="1:17" s="37" customFormat="1" ht="11.25">
      <c r="A163" s="57"/>
      <c r="B163" s="31" t="s">
        <v>88</v>
      </c>
      <c r="C163" s="18">
        <v>38855</v>
      </c>
      <c r="D163" s="18"/>
      <c r="E163" s="17">
        <f t="shared" si="21"/>
        <v>38855</v>
      </c>
      <c r="F163" s="18">
        <v>35618</v>
      </c>
      <c r="G163" s="70"/>
      <c r="H163" s="17">
        <f t="shared" si="15"/>
        <v>35618</v>
      </c>
      <c r="I163" s="77">
        <f aca="true" t="shared" si="22" ref="I163:I210">H163/E163</f>
        <v>0.9166902586539699</v>
      </c>
      <c r="J163" s="18">
        <v>38855</v>
      </c>
      <c r="K163" s="18"/>
      <c r="L163" s="17">
        <f t="shared" si="17"/>
        <v>38855</v>
      </c>
      <c r="M163" s="7">
        <f t="shared" si="20"/>
        <v>1</v>
      </c>
      <c r="N163" s="18">
        <v>38510</v>
      </c>
      <c r="O163" s="18"/>
      <c r="P163" s="17">
        <f t="shared" si="18"/>
        <v>38510</v>
      </c>
      <c r="Q163" s="92">
        <f t="shared" si="16"/>
        <v>0.9911208338695149</v>
      </c>
    </row>
    <row r="164" spans="1:17" s="37" customFormat="1" ht="22.5" hidden="1">
      <c r="A164" s="57"/>
      <c r="B164" s="31" t="s">
        <v>89</v>
      </c>
      <c r="C164" s="18"/>
      <c r="D164" s="18"/>
      <c r="E164" s="17">
        <f t="shared" si="21"/>
        <v>0</v>
      </c>
      <c r="F164" s="70"/>
      <c r="G164" s="70"/>
      <c r="H164" s="17">
        <f t="shared" si="15"/>
        <v>0</v>
      </c>
      <c r="I164" s="77" t="e">
        <f t="shared" si="22"/>
        <v>#DIV/0!</v>
      </c>
      <c r="J164" s="18"/>
      <c r="K164" s="18"/>
      <c r="L164" s="17">
        <f t="shared" si="17"/>
        <v>0</v>
      </c>
      <c r="M164" s="7" t="e">
        <f t="shared" si="20"/>
        <v>#DIV/0!</v>
      </c>
      <c r="N164" s="18"/>
      <c r="O164" s="18"/>
      <c r="P164" s="17">
        <f t="shared" si="18"/>
        <v>0</v>
      </c>
      <c r="Q164" s="92" t="e">
        <f t="shared" si="16"/>
        <v>#DIV/0!</v>
      </c>
    </row>
    <row r="165" spans="1:17" s="3" customFormat="1" ht="11.25" customHeight="1">
      <c r="A165" s="60"/>
      <c r="B165" s="46" t="s">
        <v>90</v>
      </c>
      <c r="C165" s="18"/>
      <c r="D165" s="18">
        <v>175000</v>
      </c>
      <c r="E165" s="17">
        <f t="shared" si="21"/>
        <v>175000</v>
      </c>
      <c r="F165" s="70"/>
      <c r="G165" s="70">
        <v>0</v>
      </c>
      <c r="H165" s="17">
        <f t="shared" si="15"/>
        <v>0</v>
      </c>
      <c r="I165" s="77">
        <f t="shared" si="22"/>
        <v>0</v>
      </c>
      <c r="J165" s="18"/>
      <c r="K165" s="18">
        <v>175000</v>
      </c>
      <c r="L165" s="17">
        <f t="shared" si="17"/>
        <v>175000</v>
      </c>
      <c r="M165" s="7">
        <f t="shared" si="20"/>
        <v>1</v>
      </c>
      <c r="N165" s="18"/>
      <c r="O165" s="18">
        <v>175000</v>
      </c>
      <c r="P165" s="17">
        <f t="shared" si="18"/>
        <v>175000</v>
      </c>
      <c r="Q165" s="92">
        <f t="shared" si="16"/>
        <v>1</v>
      </c>
    </row>
    <row r="166" spans="1:17" s="3" customFormat="1" ht="12" customHeight="1">
      <c r="A166" s="60"/>
      <c r="B166" s="46" t="s">
        <v>91</v>
      </c>
      <c r="C166" s="18"/>
      <c r="D166" s="18">
        <v>60000</v>
      </c>
      <c r="E166" s="17">
        <f t="shared" si="21"/>
        <v>60000</v>
      </c>
      <c r="F166" s="70"/>
      <c r="G166" s="18">
        <v>4286</v>
      </c>
      <c r="H166" s="17">
        <f t="shared" si="15"/>
        <v>4286</v>
      </c>
      <c r="I166" s="77">
        <f t="shared" si="22"/>
        <v>0.07143333333333333</v>
      </c>
      <c r="J166" s="18"/>
      <c r="K166" s="18">
        <v>60000</v>
      </c>
      <c r="L166" s="17">
        <f t="shared" si="17"/>
        <v>60000</v>
      </c>
      <c r="M166" s="7">
        <f t="shared" si="20"/>
        <v>1</v>
      </c>
      <c r="N166" s="18"/>
      <c r="O166" s="18">
        <v>67000</v>
      </c>
      <c r="P166" s="17">
        <f t="shared" si="18"/>
        <v>67000</v>
      </c>
      <c r="Q166" s="92">
        <f t="shared" si="16"/>
        <v>1.1166666666666667</v>
      </c>
    </row>
    <row r="167" spans="1:17" s="3" customFormat="1" ht="12.75" customHeight="1">
      <c r="A167" s="60"/>
      <c r="B167" s="46" t="s">
        <v>92</v>
      </c>
      <c r="C167" s="18"/>
      <c r="D167" s="18">
        <f>132000+18657+71971+55642+89595+113427+113670</f>
        <v>594962</v>
      </c>
      <c r="E167" s="17">
        <f t="shared" si="21"/>
        <v>594962</v>
      </c>
      <c r="F167" s="70"/>
      <c r="G167" s="18">
        <v>594962</v>
      </c>
      <c r="H167" s="17">
        <f t="shared" si="15"/>
        <v>594962</v>
      </c>
      <c r="I167" s="77">
        <f t="shared" si="22"/>
        <v>1</v>
      </c>
      <c r="J167" s="18"/>
      <c r="K167" s="18">
        <v>594962</v>
      </c>
      <c r="L167" s="17">
        <f t="shared" si="17"/>
        <v>594962</v>
      </c>
      <c r="M167" s="7">
        <f t="shared" si="20"/>
        <v>1</v>
      </c>
      <c r="N167" s="18"/>
      <c r="O167" s="18">
        <v>132000</v>
      </c>
      <c r="P167" s="17">
        <f t="shared" si="18"/>
        <v>132000</v>
      </c>
      <c r="Q167" s="92">
        <f t="shared" si="16"/>
        <v>0.2218629088916603</v>
      </c>
    </row>
    <row r="168" spans="1:17" s="34" customFormat="1" ht="11.25">
      <c r="A168" s="58"/>
      <c r="B168" s="36" t="s">
        <v>93</v>
      </c>
      <c r="C168" s="18"/>
      <c r="D168" s="18">
        <f>97500-2021</f>
        <v>95479</v>
      </c>
      <c r="E168" s="17">
        <f t="shared" si="21"/>
        <v>95479</v>
      </c>
      <c r="F168" s="70"/>
      <c r="G168" s="18">
        <v>97500</v>
      </c>
      <c r="H168" s="17">
        <f t="shared" si="15"/>
        <v>97500</v>
      </c>
      <c r="I168" s="77">
        <f t="shared" si="22"/>
        <v>1.0211669581792855</v>
      </c>
      <c r="J168" s="18"/>
      <c r="K168" s="18">
        <v>97500</v>
      </c>
      <c r="L168" s="17">
        <f t="shared" si="17"/>
        <v>97500</v>
      </c>
      <c r="M168" s="7">
        <f t="shared" si="20"/>
        <v>1.0211669581792855</v>
      </c>
      <c r="N168" s="18"/>
      <c r="O168" s="18">
        <v>99600</v>
      </c>
      <c r="P168" s="17">
        <f t="shared" si="18"/>
        <v>99600</v>
      </c>
      <c r="Q168" s="92">
        <f t="shared" si="16"/>
        <v>1.0215384615384615</v>
      </c>
    </row>
    <row r="169" spans="1:17" s="34" customFormat="1" ht="51.75" customHeight="1">
      <c r="A169" s="27">
        <v>2</v>
      </c>
      <c r="B169" s="29" t="s">
        <v>94</v>
      </c>
      <c r="C169" s="48">
        <f>SUM(C170:C175)</f>
        <v>37500</v>
      </c>
      <c r="D169" s="48">
        <f>SUM(D170:D175)</f>
        <v>232500</v>
      </c>
      <c r="E169" s="30">
        <f t="shared" si="21"/>
        <v>270000</v>
      </c>
      <c r="F169" s="48">
        <f>SUM(F170:F175)</f>
        <v>37500</v>
      </c>
      <c r="G169" s="48">
        <f>SUM(G170:G175)</f>
        <v>0</v>
      </c>
      <c r="H169" s="30">
        <f t="shared" si="15"/>
        <v>37500</v>
      </c>
      <c r="I169" s="77">
        <f t="shared" si="22"/>
        <v>0.1388888888888889</v>
      </c>
      <c r="J169" s="48">
        <f>SUM(J170:J175)</f>
        <v>37500</v>
      </c>
      <c r="K169" s="48">
        <f>SUM(K170:K175)</f>
        <v>232500</v>
      </c>
      <c r="L169" s="30">
        <f t="shared" si="17"/>
        <v>270000</v>
      </c>
      <c r="M169" s="7">
        <f t="shared" si="20"/>
        <v>1</v>
      </c>
      <c r="N169" s="48">
        <f>SUM(N170:N175)</f>
        <v>27500</v>
      </c>
      <c r="O169" s="48">
        <f>SUM(O170:O175)</f>
        <v>0</v>
      </c>
      <c r="P169" s="30">
        <f t="shared" si="18"/>
        <v>27500</v>
      </c>
      <c r="Q169" s="92">
        <f t="shared" si="16"/>
        <v>0.10185185185185185</v>
      </c>
    </row>
    <row r="170" spans="1:17" s="39" customFormat="1" ht="12" hidden="1">
      <c r="A170" s="58"/>
      <c r="B170" s="38" t="s">
        <v>95</v>
      </c>
      <c r="C170" s="18"/>
      <c r="D170" s="18"/>
      <c r="E170" s="30">
        <f t="shared" si="21"/>
        <v>0</v>
      </c>
      <c r="F170" s="70"/>
      <c r="G170" s="70"/>
      <c r="H170" s="30">
        <f t="shared" si="15"/>
        <v>0</v>
      </c>
      <c r="I170" s="77" t="e">
        <f t="shared" si="22"/>
        <v>#DIV/0!</v>
      </c>
      <c r="J170" s="18"/>
      <c r="K170" s="18"/>
      <c r="L170" s="30">
        <f t="shared" si="17"/>
        <v>0</v>
      </c>
      <c r="M170" s="7" t="e">
        <f t="shared" si="20"/>
        <v>#DIV/0!</v>
      </c>
      <c r="N170" s="18"/>
      <c r="O170" s="18"/>
      <c r="P170" s="30">
        <f t="shared" si="18"/>
        <v>0</v>
      </c>
      <c r="Q170" s="92" t="e">
        <f t="shared" si="16"/>
        <v>#DIV/0!</v>
      </c>
    </row>
    <row r="171" spans="1:17" s="39" customFormat="1" ht="11.25" hidden="1">
      <c r="A171" s="58"/>
      <c r="B171" s="38" t="s">
        <v>96</v>
      </c>
      <c r="C171" s="18"/>
      <c r="D171" s="18"/>
      <c r="E171" s="17">
        <f t="shared" si="21"/>
        <v>0</v>
      </c>
      <c r="F171" s="70"/>
      <c r="G171" s="70"/>
      <c r="H171" s="17">
        <f t="shared" si="15"/>
        <v>0</v>
      </c>
      <c r="I171" s="77" t="e">
        <f t="shared" si="22"/>
        <v>#DIV/0!</v>
      </c>
      <c r="J171" s="18"/>
      <c r="K171" s="18"/>
      <c r="L171" s="17">
        <f t="shared" si="17"/>
        <v>0</v>
      </c>
      <c r="M171" s="7" t="e">
        <f t="shared" si="20"/>
        <v>#DIV/0!</v>
      </c>
      <c r="N171" s="18"/>
      <c r="O171" s="18"/>
      <c r="P171" s="17">
        <f t="shared" si="18"/>
        <v>0</v>
      </c>
      <c r="Q171" s="92" t="e">
        <f t="shared" si="16"/>
        <v>#DIV/0!</v>
      </c>
    </row>
    <row r="172" spans="1:17" s="39" customFormat="1" ht="11.25" hidden="1">
      <c r="A172" s="58"/>
      <c r="B172" s="38" t="s">
        <v>97</v>
      </c>
      <c r="C172" s="18"/>
      <c r="D172" s="18"/>
      <c r="E172" s="17">
        <f t="shared" si="21"/>
        <v>0</v>
      </c>
      <c r="F172" s="70"/>
      <c r="G172" s="70"/>
      <c r="H172" s="17">
        <f t="shared" si="15"/>
        <v>0</v>
      </c>
      <c r="I172" s="77" t="e">
        <f t="shared" si="22"/>
        <v>#DIV/0!</v>
      </c>
      <c r="J172" s="18"/>
      <c r="K172" s="18"/>
      <c r="L172" s="17">
        <f t="shared" si="17"/>
        <v>0</v>
      </c>
      <c r="M172" s="7" t="e">
        <f t="shared" si="20"/>
        <v>#DIV/0!</v>
      </c>
      <c r="N172" s="18"/>
      <c r="O172" s="18"/>
      <c r="P172" s="17">
        <f t="shared" si="18"/>
        <v>0</v>
      </c>
      <c r="Q172" s="92" t="e">
        <f t="shared" si="16"/>
        <v>#DIV/0!</v>
      </c>
    </row>
    <row r="173" spans="1:17" s="3" customFormat="1" ht="11.25">
      <c r="A173" s="57"/>
      <c r="B173" s="36" t="s">
        <v>98</v>
      </c>
      <c r="C173" s="18">
        <f>27500+10000</f>
        <v>37500</v>
      </c>
      <c r="D173" s="18"/>
      <c r="E173" s="17">
        <f t="shared" si="21"/>
        <v>37500</v>
      </c>
      <c r="F173" s="18">
        <v>37500</v>
      </c>
      <c r="G173" s="70"/>
      <c r="H173" s="17">
        <f t="shared" si="15"/>
        <v>37500</v>
      </c>
      <c r="I173" s="77">
        <f t="shared" si="22"/>
        <v>1</v>
      </c>
      <c r="J173" s="18">
        <f>27500+10000</f>
        <v>37500</v>
      </c>
      <c r="K173" s="18"/>
      <c r="L173" s="17">
        <f aca="true" t="shared" si="23" ref="L173:L204">SUM(J173:K173)</f>
        <v>37500</v>
      </c>
      <c r="M173" s="7">
        <f t="shared" si="20"/>
        <v>1</v>
      </c>
      <c r="N173" s="18">
        <v>27500</v>
      </c>
      <c r="O173" s="18"/>
      <c r="P173" s="17">
        <f>SUM(N173:O173)</f>
        <v>27500</v>
      </c>
      <c r="Q173" s="92">
        <f>P173/L173</f>
        <v>0.7333333333333333</v>
      </c>
    </row>
    <row r="174" spans="1:17" s="3" customFormat="1" ht="32.25" customHeight="1">
      <c r="A174" s="57"/>
      <c r="B174" s="36" t="s">
        <v>197</v>
      </c>
      <c r="C174" s="75"/>
      <c r="D174" s="75">
        <v>1000</v>
      </c>
      <c r="E174" s="17">
        <f t="shared" si="21"/>
        <v>1000</v>
      </c>
      <c r="F174" s="70"/>
      <c r="G174" s="70"/>
      <c r="H174" s="17">
        <f t="shared" si="15"/>
        <v>0</v>
      </c>
      <c r="I174" s="77">
        <f t="shared" si="22"/>
        <v>0</v>
      </c>
      <c r="J174" s="18"/>
      <c r="K174" s="18">
        <v>1000</v>
      </c>
      <c r="L174" s="17">
        <f t="shared" si="23"/>
        <v>1000</v>
      </c>
      <c r="M174" s="7">
        <f t="shared" si="20"/>
        <v>1</v>
      </c>
      <c r="N174" s="18"/>
      <c r="O174" s="18"/>
      <c r="P174" s="17">
        <f>SUM(N174:O174)</f>
        <v>0</v>
      </c>
      <c r="Q174" s="92">
        <f>P174/L174</f>
        <v>0</v>
      </c>
    </row>
    <row r="175" spans="1:17" s="9" customFormat="1" ht="56.25">
      <c r="A175" s="57"/>
      <c r="B175" s="36" t="s">
        <v>171</v>
      </c>
      <c r="C175" s="18"/>
      <c r="D175" s="18">
        <v>231500</v>
      </c>
      <c r="E175" s="17">
        <f>SUM(C175:D175)</f>
        <v>231500</v>
      </c>
      <c r="F175" s="70"/>
      <c r="G175" s="70"/>
      <c r="H175" s="17">
        <f t="shared" si="15"/>
        <v>0</v>
      </c>
      <c r="I175" s="77">
        <f t="shared" si="22"/>
        <v>0</v>
      </c>
      <c r="J175" s="18"/>
      <c r="K175" s="18">
        <v>231500</v>
      </c>
      <c r="L175" s="17">
        <f t="shared" si="23"/>
        <v>231500</v>
      </c>
      <c r="M175" s="7">
        <f t="shared" si="20"/>
        <v>1</v>
      </c>
      <c r="N175" s="18"/>
      <c r="O175" s="18"/>
      <c r="P175" s="17">
        <f t="shared" si="18"/>
        <v>0</v>
      </c>
      <c r="Q175" s="92">
        <f t="shared" si="16"/>
        <v>0</v>
      </c>
    </row>
    <row r="176" spans="1:17" s="2" customFormat="1" ht="33.75" customHeight="1">
      <c r="A176" s="27">
        <v>3</v>
      </c>
      <c r="B176" s="29" t="s">
        <v>99</v>
      </c>
      <c r="C176" s="30">
        <f>SUM(C177:C192)</f>
        <v>4810966</v>
      </c>
      <c r="D176" s="30">
        <f>SUM(D177:D192)</f>
        <v>1534206</v>
      </c>
      <c r="E176" s="30">
        <f t="shared" si="21"/>
        <v>6345172</v>
      </c>
      <c r="F176" s="30">
        <f>SUM(F177:F192)</f>
        <v>4527695</v>
      </c>
      <c r="G176" s="30">
        <f>SUM(G177:G192)</f>
        <v>1446633</v>
      </c>
      <c r="H176" s="30">
        <f t="shared" si="15"/>
        <v>5974328</v>
      </c>
      <c r="I176" s="77">
        <f t="shared" si="22"/>
        <v>0.9415549334202445</v>
      </c>
      <c r="J176" s="30">
        <f>SUM(J177:J192)</f>
        <v>4813966</v>
      </c>
      <c r="K176" s="30">
        <f>SUM(K177:K192)</f>
        <v>1534206</v>
      </c>
      <c r="L176" s="30">
        <f t="shared" si="23"/>
        <v>6348172</v>
      </c>
      <c r="M176" s="7">
        <f t="shared" si="20"/>
        <v>1.0004728004221162</v>
      </c>
      <c r="N176" s="30">
        <f>SUM(N177:N192)</f>
        <v>2830004</v>
      </c>
      <c r="O176" s="30">
        <f>SUM(O177:O192)</f>
        <v>1084200</v>
      </c>
      <c r="P176" s="30">
        <f t="shared" si="18"/>
        <v>3914204</v>
      </c>
      <c r="Q176" s="92">
        <f t="shared" si="16"/>
        <v>0.616587578282378</v>
      </c>
    </row>
    <row r="177" spans="1:17" s="2" customFormat="1" ht="11.25">
      <c r="A177" s="57"/>
      <c r="B177" s="46" t="s">
        <v>100</v>
      </c>
      <c r="C177" s="18">
        <f>138096+268333+199680+70895+15355</f>
        <v>692359</v>
      </c>
      <c r="D177" s="18">
        <f>4400+2400</f>
        <v>6800</v>
      </c>
      <c r="E177" s="17">
        <f t="shared" si="21"/>
        <v>699159</v>
      </c>
      <c r="F177" s="18">
        <v>692359</v>
      </c>
      <c r="G177" s="18">
        <v>6800</v>
      </c>
      <c r="H177" s="17">
        <f t="shared" si="15"/>
        <v>699159</v>
      </c>
      <c r="I177" s="77">
        <f t="shared" si="22"/>
        <v>1</v>
      </c>
      <c r="J177" s="18">
        <v>692359</v>
      </c>
      <c r="K177" s="18">
        <v>6800</v>
      </c>
      <c r="L177" s="17">
        <f t="shared" si="23"/>
        <v>699159</v>
      </c>
      <c r="M177" s="7">
        <f t="shared" si="20"/>
        <v>1</v>
      </c>
      <c r="N177" s="18"/>
      <c r="O177" s="18"/>
      <c r="P177" s="17">
        <f t="shared" si="18"/>
        <v>0</v>
      </c>
      <c r="Q177" s="92">
        <f t="shared" si="16"/>
        <v>0</v>
      </c>
    </row>
    <row r="178" spans="1:17" s="2" customFormat="1" ht="12" customHeight="1">
      <c r="A178" s="57"/>
      <c r="B178" s="46" t="s">
        <v>101</v>
      </c>
      <c r="C178" s="18">
        <f>200000+110000</f>
        <v>310000</v>
      </c>
      <c r="D178" s="17"/>
      <c r="E178" s="17">
        <f t="shared" si="21"/>
        <v>310000</v>
      </c>
      <c r="F178" s="18">
        <v>310000</v>
      </c>
      <c r="G178" s="17"/>
      <c r="H178" s="17">
        <f t="shared" si="15"/>
        <v>310000</v>
      </c>
      <c r="I178" s="77">
        <f t="shared" si="22"/>
        <v>1</v>
      </c>
      <c r="J178" s="18">
        <v>310000</v>
      </c>
      <c r="K178" s="17"/>
      <c r="L178" s="17">
        <f t="shared" si="23"/>
        <v>310000</v>
      </c>
      <c r="M178" s="7">
        <f>L178/E178</f>
        <v>1</v>
      </c>
      <c r="N178" s="18">
        <v>310404</v>
      </c>
      <c r="O178" s="17"/>
      <c r="P178" s="17">
        <f t="shared" si="18"/>
        <v>310404</v>
      </c>
      <c r="Q178" s="92">
        <f t="shared" si="16"/>
        <v>1.0013032258064516</v>
      </c>
    </row>
    <row r="179" spans="1:17" s="2" customFormat="1" ht="61.5" customHeight="1">
      <c r="A179" s="57"/>
      <c r="B179" s="15" t="s">
        <v>176</v>
      </c>
      <c r="C179" s="18"/>
      <c r="D179" s="18">
        <v>39477</v>
      </c>
      <c r="E179" s="17">
        <f t="shared" si="21"/>
        <v>39477</v>
      </c>
      <c r="F179" s="84"/>
      <c r="G179" s="85">
        <v>39477</v>
      </c>
      <c r="H179" s="17">
        <f t="shared" si="15"/>
        <v>39477</v>
      </c>
      <c r="I179" s="77">
        <f t="shared" si="22"/>
        <v>1</v>
      </c>
      <c r="J179" s="18"/>
      <c r="K179" s="18">
        <v>39477</v>
      </c>
      <c r="L179" s="17">
        <f t="shared" si="23"/>
        <v>39477</v>
      </c>
      <c r="M179" s="7">
        <f>L179/E179</f>
        <v>1</v>
      </c>
      <c r="N179" s="18"/>
      <c r="O179" s="17"/>
      <c r="P179" s="17">
        <f t="shared" si="18"/>
        <v>0</v>
      </c>
      <c r="Q179" s="92">
        <f t="shared" si="16"/>
        <v>0</v>
      </c>
    </row>
    <row r="180" spans="1:17" s="19" customFormat="1" ht="22.5" hidden="1">
      <c r="A180" s="52"/>
      <c r="B180" s="15" t="s">
        <v>102</v>
      </c>
      <c r="C180" s="18"/>
      <c r="D180" s="18"/>
      <c r="E180" s="17">
        <f t="shared" si="21"/>
        <v>0</v>
      </c>
      <c r="F180" s="70"/>
      <c r="G180" s="70"/>
      <c r="H180" s="17">
        <f t="shared" si="15"/>
        <v>0</v>
      </c>
      <c r="I180" s="77" t="e">
        <f t="shared" si="22"/>
        <v>#DIV/0!</v>
      </c>
      <c r="J180" s="18"/>
      <c r="K180" s="18"/>
      <c r="L180" s="17">
        <f t="shared" si="23"/>
        <v>0</v>
      </c>
      <c r="M180" s="7" t="e">
        <f aca="true" t="shared" si="24" ref="M180:M188">L180/E180</f>
        <v>#DIV/0!</v>
      </c>
      <c r="N180" s="18"/>
      <c r="O180" s="18"/>
      <c r="P180" s="17">
        <f t="shared" si="18"/>
        <v>0</v>
      </c>
      <c r="Q180" s="92" t="e">
        <f t="shared" si="16"/>
        <v>#DIV/0!</v>
      </c>
    </row>
    <row r="181" spans="1:17" s="19" customFormat="1" ht="11.25" hidden="1">
      <c r="A181" s="52"/>
      <c r="B181" s="15" t="s">
        <v>103</v>
      </c>
      <c r="C181" s="18"/>
      <c r="D181" s="18"/>
      <c r="E181" s="17">
        <f t="shared" si="21"/>
        <v>0</v>
      </c>
      <c r="F181" s="70"/>
      <c r="G181" s="70"/>
      <c r="H181" s="17">
        <f t="shared" si="15"/>
        <v>0</v>
      </c>
      <c r="I181" s="77" t="e">
        <f t="shared" si="22"/>
        <v>#DIV/0!</v>
      </c>
      <c r="J181" s="18"/>
      <c r="K181" s="18"/>
      <c r="L181" s="17">
        <f t="shared" si="23"/>
        <v>0</v>
      </c>
      <c r="M181" s="7" t="e">
        <f t="shared" si="24"/>
        <v>#DIV/0!</v>
      </c>
      <c r="N181" s="18"/>
      <c r="O181" s="18"/>
      <c r="P181" s="17">
        <f t="shared" si="18"/>
        <v>0</v>
      </c>
      <c r="Q181" s="92" t="e">
        <f t="shared" si="16"/>
        <v>#DIV/0!</v>
      </c>
    </row>
    <row r="182" spans="1:17" s="19" customFormat="1" ht="11.25" hidden="1">
      <c r="A182" s="52"/>
      <c r="B182" s="15" t="s">
        <v>101</v>
      </c>
      <c r="C182" s="18"/>
      <c r="D182" s="18"/>
      <c r="E182" s="17">
        <f t="shared" si="21"/>
        <v>0</v>
      </c>
      <c r="F182" s="70"/>
      <c r="G182" s="70"/>
      <c r="H182" s="17">
        <f t="shared" si="15"/>
        <v>0</v>
      </c>
      <c r="I182" s="77" t="e">
        <f t="shared" si="22"/>
        <v>#DIV/0!</v>
      </c>
      <c r="J182" s="18"/>
      <c r="K182" s="18"/>
      <c r="L182" s="17">
        <f t="shared" si="23"/>
        <v>0</v>
      </c>
      <c r="M182" s="7" t="e">
        <f t="shared" si="24"/>
        <v>#DIV/0!</v>
      </c>
      <c r="N182" s="18"/>
      <c r="O182" s="18"/>
      <c r="P182" s="17">
        <f t="shared" si="18"/>
        <v>0</v>
      </c>
      <c r="Q182" s="92" t="e">
        <f t="shared" si="16"/>
        <v>#DIV/0!</v>
      </c>
    </row>
    <row r="183" spans="1:17" s="2" customFormat="1" ht="11.25" hidden="1">
      <c r="A183" s="57"/>
      <c r="B183" s="15" t="s">
        <v>104</v>
      </c>
      <c r="C183" s="17"/>
      <c r="D183" s="17"/>
      <c r="E183" s="17">
        <f t="shared" si="21"/>
        <v>0</v>
      </c>
      <c r="F183" s="84"/>
      <c r="G183" s="84"/>
      <c r="H183" s="17">
        <f aca="true" t="shared" si="25" ref="H183:H188">SUM(F183:G183)</f>
        <v>0</v>
      </c>
      <c r="I183" s="77" t="e">
        <f t="shared" si="22"/>
        <v>#DIV/0!</v>
      </c>
      <c r="J183" s="17"/>
      <c r="K183" s="17"/>
      <c r="L183" s="17">
        <f t="shared" si="23"/>
        <v>0</v>
      </c>
      <c r="M183" s="7" t="e">
        <f t="shared" si="24"/>
        <v>#DIV/0!</v>
      </c>
      <c r="N183" s="17"/>
      <c r="O183" s="17"/>
      <c r="P183" s="17">
        <f t="shared" si="18"/>
        <v>0</v>
      </c>
      <c r="Q183" s="92" t="e">
        <f t="shared" si="16"/>
        <v>#DIV/0!</v>
      </c>
    </row>
    <row r="184" spans="1:17" s="2" customFormat="1" ht="22.5" hidden="1">
      <c r="A184" s="57"/>
      <c r="B184" s="46" t="s">
        <v>150</v>
      </c>
      <c r="C184" s="17"/>
      <c r="D184" s="17"/>
      <c r="E184" s="17">
        <f t="shared" si="21"/>
        <v>0</v>
      </c>
      <c r="F184" s="84"/>
      <c r="G184" s="84"/>
      <c r="H184" s="17">
        <f t="shared" si="25"/>
        <v>0</v>
      </c>
      <c r="I184" s="77" t="e">
        <f t="shared" si="22"/>
        <v>#DIV/0!</v>
      </c>
      <c r="J184" s="17"/>
      <c r="K184" s="17"/>
      <c r="L184" s="17">
        <f t="shared" si="23"/>
        <v>0</v>
      </c>
      <c r="M184" s="7" t="e">
        <f t="shared" si="24"/>
        <v>#DIV/0!</v>
      </c>
      <c r="N184" s="17"/>
      <c r="O184" s="17"/>
      <c r="P184" s="17">
        <f t="shared" si="18"/>
        <v>0</v>
      </c>
      <c r="Q184" s="92" t="e">
        <f t="shared" si="16"/>
        <v>#DIV/0!</v>
      </c>
    </row>
    <row r="185" spans="1:17" s="2" customFormat="1" ht="22.5" hidden="1">
      <c r="A185" s="57"/>
      <c r="B185" s="46" t="s">
        <v>151</v>
      </c>
      <c r="C185" s="17"/>
      <c r="D185" s="17"/>
      <c r="E185" s="17">
        <f t="shared" si="21"/>
        <v>0</v>
      </c>
      <c r="F185" s="84"/>
      <c r="G185" s="84"/>
      <c r="H185" s="17">
        <f t="shared" si="25"/>
        <v>0</v>
      </c>
      <c r="I185" s="77" t="e">
        <f t="shared" si="22"/>
        <v>#DIV/0!</v>
      </c>
      <c r="J185" s="17"/>
      <c r="K185" s="17"/>
      <c r="L185" s="17">
        <f t="shared" si="23"/>
        <v>0</v>
      </c>
      <c r="M185" s="7" t="e">
        <f t="shared" si="24"/>
        <v>#DIV/0!</v>
      </c>
      <c r="N185" s="17"/>
      <c r="O185" s="17"/>
      <c r="P185" s="17">
        <f t="shared" si="18"/>
        <v>0</v>
      </c>
      <c r="Q185" s="92" t="e">
        <f t="shared" si="16"/>
        <v>#DIV/0!</v>
      </c>
    </row>
    <row r="186" spans="1:17" s="2" customFormat="1" ht="56.25">
      <c r="A186" s="57"/>
      <c r="B186" s="15" t="s">
        <v>200</v>
      </c>
      <c r="C186" s="18"/>
      <c r="D186" s="18">
        <f>16545+18293</f>
        <v>34838</v>
      </c>
      <c r="E186" s="17">
        <f t="shared" si="21"/>
        <v>34838</v>
      </c>
      <c r="F186" s="84"/>
      <c r="G186" s="85">
        <v>34838</v>
      </c>
      <c r="H186" s="17">
        <f t="shared" si="25"/>
        <v>34838</v>
      </c>
      <c r="I186" s="77">
        <f t="shared" si="22"/>
        <v>1</v>
      </c>
      <c r="J186" s="17"/>
      <c r="K186" s="85">
        <v>34838</v>
      </c>
      <c r="L186" s="17">
        <f t="shared" si="23"/>
        <v>34838</v>
      </c>
      <c r="M186" s="7">
        <f t="shared" si="24"/>
        <v>1</v>
      </c>
      <c r="N186" s="17"/>
      <c r="O186" s="17"/>
      <c r="P186" s="17">
        <f t="shared" si="18"/>
        <v>0</v>
      </c>
      <c r="Q186" s="92">
        <f t="shared" si="16"/>
        <v>0</v>
      </c>
    </row>
    <row r="187" spans="1:17" s="2" customFormat="1" ht="34.5" customHeight="1">
      <c r="A187" s="57"/>
      <c r="B187" s="15" t="s">
        <v>198</v>
      </c>
      <c r="C187" s="18"/>
      <c r="D187" s="18">
        <v>3500</v>
      </c>
      <c r="E187" s="17">
        <f t="shared" si="21"/>
        <v>3500</v>
      </c>
      <c r="F187" s="84"/>
      <c r="G187" s="85"/>
      <c r="H187" s="17">
        <f t="shared" si="25"/>
        <v>0</v>
      </c>
      <c r="I187" s="77">
        <f t="shared" si="22"/>
        <v>0</v>
      </c>
      <c r="J187" s="17"/>
      <c r="K187" s="85">
        <v>3500</v>
      </c>
      <c r="L187" s="17">
        <f t="shared" si="23"/>
        <v>3500</v>
      </c>
      <c r="M187" s="7">
        <f t="shared" si="24"/>
        <v>1</v>
      </c>
      <c r="N187" s="17"/>
      <c r="O187" s="17"/>
      <c r="P187" s="17">
        <f t="shared" si="18"/>
        <v>0</v>
      </c>
      <c r="Q187" s="92">
        <f t="shared" si="16"/>
        <v>0</v>
      </c>
    </row>
    <row r="188" spans="1:17" s="2" customFormat="1" ht="22.5">
      <c r="A188" s="57"/>
      <c r="B188" s="15" t="s">
        <v>199</v>
      </c>
      <c r="C188" s="18">
        <v>100177</v>
      </c>
      <c r="D188" s="18">
        <v>57340</v>
      </c>
      <c r="E188" s="17">
        <f t="shared" si="21"/>
        <v>157517</v>
      </c>
      <c r="F188" s="85">
        <v>100177</v>
      </c>
      <c r="G188" s="85">
        <v>57340</v>
      </c>
      <c r="H188" s="17">
        <f t="shared" si="25"/>
        <v>157517</v>
      </c>
      <c r="I188" s="77">
        <f t="shared" si="22"/>
        <v>1</v>
      </c>
      <c r="J188" s="85">
        <v>100177</v>
      </c>
      <c r="K188" s="85">
        <v>57340</v>
      </c>
      <c r="L188" s="17">
        <f t="shared" si="23"/>
        <v>157517</v>
      </c>
      <c r="M188" s="7">
        <f t="shared" si="24"/>
        <v>1</v>
      </c>
      <c r="N188" s="17"/>
      <c r="O188" s="17"/>
      <c r="P188" s="17">
        <f t="shared" si="18"/>
        <v>0</v>
      </c>
      <c r="Q188" s="92">
        <f t="shared" si="16"/>
        <v>0</v>
      </c>
    </row>
    <row r="189" spans="1:17" s="2" customFormat="1" ht="56.25">
      <c r="A189" s="57"/>
      <c r="B189" s="46" t="s">
        <v>187</v>
      </c>
      <c r="C189" s="17"/>
      <c r="D189" s="18">
        <v>3705</v>
      </c>
      <c r="E189" s="17">
        <f t="shared" si="21"/>
        <v>3705</v>
      </c>
      <c r="F189" s="84"/>
      <c r="G189" s="85">
        <v>3705</v>
      </c>
      <c r="H189" s="17">
        <f aca="true" t="shared" si="26" ref="H189:H204">SUM(F189:G189)</f>
        <v>3705</v>
      </c>
      <c r="I189" s="77">
        <f t="shared" si="22"/>
        <v>1</v>
      </c>
      <c r="J189" s="17"/>
      <c r="K189" s="85">
        <v>3705</v>
      </c>
      <c r="L189" s="17">
        <f t="shared" si="23"/>
        <v>3705</v>
      </c>
      <c r="M189" s="7">
        <f aca="true" t="shared" si="27" ref="M189:M210">L189/E189</f>
        <v>1</v>
      </c>
      <c r="N189" s="17"/>
      <c r="O189" s="17"/>
      <c r="P189" s="17">
        <f t="shared" si="18"/>
        <v>0</v>
      </c>
      <c r="Q189" s="92">
        <f t="shared" si="16"/>
        <v>0</v>
      </c>
    </row>
    <row r="190" spans="1:17" s="2" customFormat="1" ht="33.75">
      <c r="A190" s="57"/>
      <c r="B190" s="46" t="s">
        <v>152</v>
      </c>
      <c r="C190" s="18">
        <f>250900+270470-3000</f>
        <v>518370</v>
      </c>
      <c r="D190" s="17"/>
      <c r="E190" s="17">
        <f t="shared" si="21"/>
        <v>518370</v>
      </c>
      <c r="F190" s="18">
        <v>448459</v>
      </c>
      <c r="G190" s="84"/>
      <c r="H190" s="17">
        <f t="shared" si="26"/>
        <v>448459</v>
      </c>
      <c r="I190" s="77">
        <f t="shared" si="22"/>
        <v>0.8651330130987519</v>
      </c>
      <c r="J190" s="18">
        <f>250900+270470</f>
        <v>521370</v>
      </c>
      <c r="K190" s="17"/>
      <c r="L190" s="17">
        <f t="shared" si="23"/>
        <v>521370</v>
      </c>
      <c r="M190" s="7">
        <f t="shared" si="27"/>
        <v>1.0057873719543955</v>
      </c>
      <c r="N190" s="18"/>
      <c r="O190" s="17"/>
      <c r="P190" s="17">
        <f t="shared" si="18"/>
        <v>0</v>
      </c>
      <c r="Q190" s="92">
        <f t="shared" si="16"/>
        <v>0</v>
      </c>
    </row>
    <row r="191" spans="1:17" s="2" customFormat="1" ht="15" customHeight="1">
      <c r="A191" s="57"/>
      <c r="B191" s="46" t="s">
        <v>104</v>
      </c>
      <c r="C191" s="18">
        <v>4200</v>
      </c>
      <c r="D191" s="17"/>
      <c r="E191" s="17">
        <f t="shared" si="21"/>
        <v>4200</v>
      </c>
      <c r="F191" s="18">
        <v>4200</v>
      </c>
      <c r="G191" s="84"/>
      <c r="H191" s="17">
        <f t="shared" si="26"/>
        <v>4200</v>
      </c>
      <c r="I191" s="77">
        <f t="shared" si="22"/>
        <v>1</v>
      </c>
      <c r="J191" s="18">
        <v>4200</v>
      </c>
      <c r="K191" s="17"/>
      <c r="L191" s="17">
        <f t="shared" si="23"/>
        <v>4200</v>
      </c>
      <c r="M191" s="7">
        <f t="shared" si="27"/>
        <v>1</v>
      </c>
      <c r="N191" s="17"/>
      <c r="O191" s="17"/>
      <c r="P191" s="17">
        <f t="shared" si="18"/>
        <v>0</v>
      </c>
      <c r="Q191" s="92">
        <f t="shared" si="16"/>
        <v>0</v>
      </c>
    </row>
    <row r="192" spans="1:17" s="3" customFormat="1" ht="12.75" customHeight="1">
      <c r="A192" s="57"/>
      <c r="B192" s="46" t="s">
        <v>105</v>
      </c>
      <c r="C192" s="18">
        <f>SUM(C194:C203)</f>
        <v>3185860</v>
      </c>
      <c r="D192" s="18">
        <f>SUM(D194:D203)</f>
        <v>1388546</v>
      </c>
      <c r="E192" s="17">
        <f t="shared" si="21"/>
        <v>4574406</v>
      </c>
      <c r="F192" s="18">
        <f>SUM(F194:F203)</f>
        <v>2972500</v>
      </c>
      <c r="G192" s="18">
        <f>SUM(G194:G203)</f>
        <v>1304473</v>
      </c>
      <c r="H192" s="17">
        <f t="shared" si="26"/>
        <v>4276973</v>
      </c>
      <c r="I192" s="7">
        <f t="shared" si="22"/>
        <v>0.9349788803180129</v>
      </c>
      <c r="J192" s="18">
        <f>SUM(J194:J203)</f>
        <v>3185860</v>
      </c>
      <c r="K192" s="18">
        <f>SUM(K194:K203)</f>
        <v>1388546</v>
      </c>
      <c r="L192" s="17">
        <f t="shared" si="23"/>
        <v>4574406</v>
      </c>
      <c r="M192" s="7">
        <f t="shared" si="27"/>
        <v>1</v>
      </c>
      <c r="N192" s="18">
        <f>SUM(N194:N203)</f>
        <v>2519600</v>
      </c>
      <c r="O192" s="18">
        <f>SUM(O194:O203)</f>
        <v>1084200</v>
      </c>
      <c r="P192" s="17">
        <f t="shared" si="18"/>
        <v>3603800</v>
      </c>
      <c r="Q192" s="113">
        <f t="shared" si="16"/>
        <v>0.787818134201468</v>
      </c>
    </row>
    <row r="193" spans="1:17" s="19" customFormat="1" ht="11.25" hidden="1">
      <c r="A193" s="52"/>
      <c r="B193" s="49" t="s">
        <v>106</v>
      </c>
      <c r="C193" s="18"/>
      <c r="D193" s="18"/>
      <c r="E193" s="17">
        <f t="shared" si="21"/>
        <v>0</v>
      </c>
      <c r="F193" s="70"/>
      <c r="G193" s="70"/>
      <c r="H193" s="17">
        <f t="shared" si="26"/>
        <v>0</v>
      </c>
      <c r="I193" s="77" t="e">
        <f t="shared" si="22"/>
        <v>#DIV/0!</v>
      </c>
      <c r="J193" s="18"/>
      <c r="K193" s="18"/>
      <c r="L193" s="17">
        <f t="shared" si="23"/>
        <v>0</v>
      </c>
      <c r="M193" s="7" t="e">
        <f t="shared" si="27"/>
        <v>#DIV/0!</v>
      </c>
      <c r="N193" s="18"/>
      <c r="O193" s="18"/>
      <c r="P193" s="17">
        <f t="shared" si="18"/>
        <v>0</v>
      </c>
      <c r="Q193" s="92"/>
    </row>
    <row r="194" spans="1:17" s="25" customFormat="1" ht="12.75" customHeight="1">
      <c r="A194" s="53"/>
      <c r="B194" s="65" t="s">
        <v>167</v>
      </c>
      <c r="C194" s="24">
        <f>430000+416200+250000+149800</f>
        <v>1246000</v>
      </c>
      <c r="D194" s="24"/>
      <c r="E194" s="17">
        <f t="shared" si="21"/>
        <v>1246000</v>
      </c>
      <c r="F194" s="24">
        <v>1200310</v>
      </c>
      <c r="G194" s="80"/>
      <c r="H194" s="23">
        <f t="shared" si="26"/>
        <v>1200310</v>
      </c>
      <c r="I194" s="77">
        <f t="shared" si="22"/>
        <v>0.963330658105939</v>
      </c>
      <c r="J194" s="24">
        <v>1246000</v>
      </c>
      <c r="K194" s="24"/>
      <c r="L194" s="23">
        <f t="shared" si="23"/>
        <v>1246000</v>
      </c>
      <c r="M194" s="7">
        <f t="shared" si="27"/>
        <v>1</v>
      </c>
      <c r="N194" s="24">
        <v>580000</v>
      </c>
      <c r="O194" s="24"/>
      <c r="P194" s="23">
        <f t="shared" si="18"/>
        <v>580000</v>
      </c>
      <c r="Q194" s="92">
        <f t="shared" si="16"/>
        <v>0.4654895666131621</v>
      </c>
    </row>
    <row r="195" spans="1:17" s="25" customFormat="1" ht="22.5">
      <c r="A195" s="53"/>
      <c r="B195" s="65" t="s">
        <v>175</v>
      </c>
      <c r="C195" s="24"/>
      <c r="D195" s="24">
        <v>53470</v>
      </c>
      <c r="E195" s="17">
        <f t="shared" si="21"/>
        <v>53470</v>
      </c>
      <c r="F195" s="80"/>
      <c r="G195" s="24">
        <v>53470</v>
      </c>
      <c r="H195" s="23">
        <f t="shared" si="26"/>
        <v>53470</v>
      </c>
      <c r="I195" s="77">
        <f t="shared" si="22"/>
        <v>1</v>
      </c>
      <c r="J195" s="24"/>
      <c r="K195" s="24">
        <v>53470</v>
      </c>
      <c r="L195" s="23">
        <f t="shared" si="23"/>
        <v>53470</v>
      </c>
      <c r="M195" s="7">
        <f t="shared" si="27"/>
        <v>1</v>
      </c>
      <c r="N195" s="24"/>
      <c r="O195" s="24"/>
      <c r="P195" s="23"/>
      <c r="Q195" s="92">
        <f t="shared" si="16"/>
        <v>0</v>
      </c>
    </row>
    <row r="196" spans="1:17" s="34" customFormat="1" ht="11.25">
      <c r="A196" s="58"/>
      <c r="B196" s="65" t="s">
        <v>107</v>
      </c>
      <c r="C196" s="24"/>
      <c r="D196" s="24">
        <f>957275-9591+55000-18070-4170</f>
        <v>980444</v>
      </c>
      <c r="E196" s="23">
        <f t="shared" si="21"/>
        <v>980444</v>
      </c>
      <c r="F196" s="80"/>
      <c r="G196" s="117">
        <v>1068503</v>
      </c>
      <c r="H196" s="23">
        <f t="shared" si="26"/>
        <v>1068503</v>
      </c>
      <c r="I196" s="77">
        <f t="shared" si="22"/>
        <v>1.089815430560032</v>
      </c>
      <c r="J196" s="24"/>
      <c r="K196" s="24">
        <v>980444</v>
      </c>
      <c r="L196" s="23">
        <f t="shared" si="23"/>
        <v>980444</v>
      </c>
      <c r="M196" s="7">
        <f t="shared" si="27"/>
        <v>1</v>
      </c>
      <c r="N196" s="24"/>
      <c r="O196" s="24">
        <v>917400</v>
      </c>
      <c r="P196" s="23">
        <f t="shared" si="18"/>
        <v>917400</v>
      </c>
      <c r="Q196" s="92">
        <f t="shared" si="16"/>
        <v>0.9356985202622485</v>
      </c>
    </row>
    <row r="197" spans="1:17" s="34" customFormat="1" ht="22.5">
      <c r="A197" s="58"/>
      <c r="B197" s="65" t="s">
        <v>108</v>
      </c>
      <c r="C197" s="24"/>
      <c r="D197" s="24">
        <f>187200-15068</f>
        <v>172132</v>
      </c>
      <c r="E197" s="23">
        <f t="shared" si="21"/>
        <v>172132</v>
      </c>
      <c r="F197" s="80"/>
      <c r="G197" s="117"/>
      <c r="H197" s="23">
        <f t="shared" si="26"/>
        <v>0</v>
      </c>
      <c r="I197" s="77">
        <f t="shared" si="22"/>
        <v>0</v>
      </c>
      <c r="J197" s="24"/>
      <c r="K197" s="24">
        <f>187200-15068</f>
        <v>172132</v>
      </c>
      <c r="L197" s="23">
        <f t="shared" si="23"/>
        <v>172132</v>
      </c>
      <c r="M197" s="7">
        <f t="shared" si="27"/>
        <v>1</v>
      </c>
      <c r="N197" s="24"/>
      <c r="O197" s="24">
        <v>166800</v>
      </c>
      <c r="P197" s="23">
        <f t="shared" si="18"/>
        <v>166800</v>
      </c>
      <c r="Q197" s="92">
        <f t="shared" si="16"/>
        <v>0.9690237724536983</v>
      </c>
    </row>
    <row r="198" spans="1:17" s="34" customFormat="1" ht="15" customHeight="1">
      <c r="A198" s="58"/>
      <c r="B198" s="65" t="s">
        <v>55</v>
      </c>
      <c r="C198" s="24"/>
      <c r="D198" s="24">
        <f>1500+20000+1500+159500</f>
        <v>182500</v>
      </c>
      <c r="E198" s="23">
        <f t="shared" si="21"/>
        <v>182500</v>
      </c>
      <c r="F198" s="80"/>
      <c r="G198" s="24">
        <v>182500</v>
      </c>
      <c r="H198" s="23">
        <f t="shared" si="26"/>
        <v>182500</v>
      </c>
      <c r="I198" s="77">
        <f t="shared" si="22"/>
        <v>1</v>
      </c>
      <c r="J198" s="24"/>
      <c r="K198" s="24">
        <v>182500</v>
      </c>
      <c r="L198" s="23">
        <f t="shared" si="23"/>
        <v>182500</v>
      </c>
      <c r="M198" s="7">
        <f t="shared" si="27"/>
        <v>1</v>
      </c>
      <c r="N198" s="24"/>
      <c r="O198" s="24"/>
      <c r="P198" s="23">
        <f t="shared" si="18"/>
        <v>0</v>
      </c>
      <c r="Q198" s="92">
        <f t="shared" si="16"/>
        <v>0</v>
      </c>
    </row>
    <row r="199" spans="1:17" s="34" customFormat="1" ht="11.25" hidden="1">
      <c r="A199" s="58"/>
      <c r="B199" s="65" t="s">
        <v>53</v>
      </c>
      <c r="C199" s="24"/>
      <c r="D199" s="24"/>
      <c r="E199" s="23">
        <f t="shared" si="21"/>
        <v>0</v>
      </c>
      <c r="F199" s="80"/>
      <c r="G199" s="80"/>
      <c r="H199" s="23">
        <f t="shared" si="26"/>
        <v>0</v>
      </c>
      <c r="I199" s="77" t="e">
        <f t="shared" si="22"/>
        <v>#DIV/0!</v>
      </c>
      <c r="J199" s="24"/>
      <c r="K199" s="24"/>
      <c r="L199" s="23">
        <f t="shared" si="23"/>
        <v>0</v>
      </c>
      <c r="M199" s="7" t="e">
        <f t="shared" si="27"/>
        <v>#DIV/0!</v>
      </c>
      <c r="N199" s="24"/>
      <c r="O199" s="24"/>
      <c r="P199" s="23">
        <f t="shared" si="18"/>
        <v>0</v>
      </c>
      <c r="Q199" s="92"/>
    </row>
    <row r="200" spans="1:17" s="34" customFormat="1" ht="11.25" hidden="1">
      <c r="A200" s="58"/>
      <c r="B200" s="65" t="s">
        <v>116</v>
      </c>
      <c r="C200" s="24"/>
      <c r="D200" s="24"/>
      <c r="E200" s="23">
        <f t="shared" si="21"/>
        <v>0</v>
      </c>
      <c r="F200" s="80"/>
      <c r="G200" s="80"/>
      <c r="H200" s="23">
        <f t="shared" si="26"/>
        <v>0</v>
      </c>
      <c r="I200" s="77" t="e">
        <f t="shared" si="22"/>
        <v>#DIV/0!</v>
      </c>
      <c r="J200" s="24"/>
      <c r="K200" s="24"/>
      <c r="L200" s="23">
        <f t="shared" si="23"/>
        <v>0</v>
      </c>
      <c r="M200" s="7" t="e">
        <f t="shared" si="27"/>
        <v>#DIV/0!</v>
      </c>
      <c r="N200" s="24"/>
      <c r="O200" s="24"/>
      <c r="P200" s="23">
        <f t="shared" si="18"/>
        <v>0</v>
      </c>
      <c r="Q200" s="92"/>
    </row>
    <row r="201" spans="1:17" s="9" customFormat="1" ht="11.25">
      <c r="A201" s="54"/>
      <c r="B201" s="66" t="s">
        <v>109</v>
      </c>
      <c r="C201" s="24">
        <v>286000</v>
      </c>
      <c r="D201" s="24"/>
      <c r="E201" s="23">
        <f t="shared" si="21"/>
        <v>286000</v>
      </c>
      <c r="F201" s="24">
        <v>240050</v>
      </c>
      <c r="G201" s="80"/>
      <c r="H201" s="23">
        <f t="shared" si="26"/>
        <v>240050</v>
      </c>
      <c r="I201" s="77">
        <f t="shared" si="22"/>
        <v>0.8393356643356643</v>
      </c>
      <c r="J201" s="24">
        <v>286000</v>
      </c>
      <c r="K201" s="24"/>
      <c r="L201" s="23">
        <f t="shared" si="23"/>
        <v>286000</v>
      </c>
      <c r="M201" s="7">
        <f t="shared" si="27"/>
        <v>1</v>
      </c>
      <c r="N201" s="24">
        <v>428000</v>
      </c>
      <c r="O201" s="24"/>
      <c r="P201" s="23">
        <f t="shared" si="18"/>
        <v>428000</v>
      </c>
      <c r="Q201" s="92">
        <f t="shared" si="16"/>
        <v>1.4965034965034965</v>
      </c>
    </row>
    <row r="202" spans="1:17" s="9" customFormat="1" ht="11.25" hidden="1">
      <c r="A202" s="54"/>
      <c r="B202" s="47" t="s">
        <v>116</v>
      </c>
      <c r="C202" s="24"/>
      <c r="D202" s="24"/>
      <c r="E202" s="23">
        <f>SUM(C202:D202)</f>
        <v>0</v>
      </c>
      <c r="F202" s="24"/>
      <c r="G202" s="80"/>
      <c r="H202" s="23">
        <f t="shared" si="26"/>
        <v>0</v>
      </c>
      <c r="I202" s="77" t="e">
        <f t="shared" si="22"/>
        <v>#DIV/0!</v>
      </c>
      <c r="J202" s="24"/>
      <c r="K202" s="24"/>
      <c r="L202" s="23">
        <f t="shared" si="23"/>
        <v>0</v>
      </c>
      <c r="M202" s="7" t="e">
        <f t="shared" si="27"/>
        <v>#DIV/0!</v>
      </c>
      <c r="N202" s="24"/>
      <c r="O202" s="24"/>
      <c r="P202" s="23">
        <f t="shared" si="18"/>
        <v>0</v>
      </c>
      <c r="Q202" s="92"/>
    </row>
    <row r="203" spans="1:17" s="9" customFormat="1" ht="11.25">
      <c r="A203" s="54"/>
      <c r="B203" s="66" t="s">
        <v>110</v>
      </c>
      <c r="C203" s="24">
        <f>1272260+121580+127720+132300</f>
        <v>1653860</v>
      </c>
      <c r="D203" s="24"/>
      <c r="E203" s="23">
        <f>SUM(C203:D203)</f>
        <v>1653860</v>
      </c>
      <c r="F203" s="24">
        <v>1532140</v>
      </c>
      <c r="G203" s="80"/>
      <c r="H203" s="23">
        <f t="shared" si="26"/>
        <v>1532140</v>
      </c>
      <c r="I203" s="77">
        <f t="shared" si="22"/>
        <v>0.9264024766304282</v>
      </c>
      <c r="J203" s="24">
        <v>1653860</v>
      </c>
      <c r="K203" s="24"/>
      <c r="L203" s="23">
        <f t="shared" si="23"/>
        <v>1653860</v>
      </c>
      <c r="M203" s="7">
        <f t="shared" si="27"/>
        <v>1</v>
      </c>
      <c r="N203" s="24">
        <v>1511600</v>
      </c>
      <c r="O203" s="24"/>
      <c r="P203" s="23">
        <f t="shared" si="18"/>
        <v>1511600</v>
      </c>
      <c r="Q203" s="92">
        <f t="shared" si="16"/>
        <v>0.9139830457233381</v>
      </c>
    </row>
    <row r="204" spans="1:17" s="20" customFormat="1" ht="15">
      <c r="A204" s="126" t="s">
        <v>111</v>
      </c>
      <c r="B204" s="126"/>
      <c r="C204" s="30">
        <f>C205+C206+C208-C209</f>
        <v>99276864</v>
      </c>
      <c r="D204" s="30">
        <f>SUM(D205:D209)</f>
        <v>0</v>
      </c>
      <c r="E204" s="30">
        <f>SUM(C204:D204)</f>
        <v>99276864</v>
      </c>
      <c r="F204" s="82">
        <f>F205+F206+F208-F209</f>
        <v>123147831.69000001</v>
      </c>
      <c r="G204" s="82">
        <f>SUM(G205:G209)</f>
        <v>0</v>
      </c>
      <c r="H204" s="30">
        <f t="shared" si="26"/>
        <v>123147831.69000001</v>
      </c>
      <c r="I204" s="77">
        <f t="shared" si="22"/>
        <v>1.2404484461757375</v>
      </c>
      <c r="J204" s="30">
        <f>J205+J206+J208-J209</f>
        <v>123150531.69</v>
      </c>
      <c r="K204" s="30">
        <f>SUM(K205:K209)</f>
        <v>0</v>
      </c>
      <c r="L204" s="30">
        <f t="shared" si="23"/>
        <v>123150531.69</v>
      </c>
      <c r="M204" s="7">
        <f t="shared" si="27"/>
        <v>1.240475642844641</v>
      </c>
      <c r="N204" s="30">
        <f>N205+N206+N208-N209</f>
        <v>217986446</v>
      </c>
      <c r="O204" s="30">
        <f>SUM(O205:O209)</f>
        <v>0</v>
      </c>
      <c r="P204" s="30">
        <f t="shared" si="18"/>
        <v>217986446</v>
      </c>
      <c r="Q204" s="92">
        <f t="shared" si="16"/>
        <v>1.7700812412952076</v>
      </c>
    </row>
    <row r="205" spans="1:17" s="2" customFormat="1" ht="12">
      <c r="A205" s="51"/>
      <c r="B205" s="31" t="s">
        <v>112</v>
      </c>
      <c r="C205" s="33">
        <v>99276864</v>
      </c>
      <c r="D205" s="30"/>
      <c r="E205" s="17">
        <f>SUM(C205:C205)</f>
        <v>99276864</v>
      </c>
      <c r="F205" s="119">
        <v>123147831.69</v>
      </c>
      <c r="G205" s="82"/>
      <c r="H205" s="17">
        <f>SUM(F205:F205)</f>
        <v>123147831.69</v>
      </c>
      <c r="I205" s="77">
        <f t="shared" si="22"/>
        <v>1.2404484461757375</v>
      </c>
      <c r="J205" s="33">
        <v>123147831.69</v>
      </c>
      <c r="K205" s="30"/>
      <c r="L205" s="17">
        <f>SUM(J205:J205)</f>
        <v>123147831.69</v>
      </c>
      <c r="M205" s="7">
        <f t="shared" si="27"/>
        <v>1.2404484461757375</v>
      </c>
      <c r="N205" s="33">
        <v>19986446</v>
      </c>
      <c r="O205" s="30"/>
      <c r="P205" s="17">
        <f>SUM(N205:N205)</f>
        <v>19986446</v>
      </c>
      <c r="Q205" s="92">
        <f t="shared" si="16"/>
        <v>0.1622963695399191</v>
      </c>
    </row>
    <row r="206" spans="1:17" s="2" customFormat="1" ht="12">
      <c r="A206" s="51"/>
      <c r="B206" s="31" t="s">
        <v>192</v>
      </c>
      <c r="C206" s="33">
        <f>100000000-45000000-55000000</f>
        <v>0</v>
      </c>
      <c r="D206" s="30"/>
      <c r="E206" s="17">
        <f>SUM(C206:D206)</f>
        <v>0</v>
      </c>
      <c r="F206" s="81"/>
      <c r="G206" s="82"/>
      <c r="H206" s="17">
        <f>SUM(F206:G206)</f>
        <v>0</v>
      </c>
      <c r="I206" s="77"/>
      <c r="J206" s="33"/>
      <c r="K206" s="30"/>
      <c r="L206" s="17">
        <f>SUM(J206:K206)</f>
        <v>0</v>
      </c>
      <c r="M206" s="7"/>
      <c r="N206" s="33">
        <v>198000000</v>
      </c>
      <c r="O206" s="30"/>
      <c r="P206" s="17">
        <f>SUM(N206:O206)</f>
        <v>198000000</v>
      </c>
      <c r="Q206" s="92"/>
    </row>
    <row r="207" spans="1:17" s="2" customFormat="1" ht="12" hidden="1">
      <c r="A207" s="51"/>
      <c r="B207" s="31" t="s">
        <v>113</v>
      </c>
      <c r="C207" s="30"/>
      <c r="D207" s="30"/>
      <c r="E207" s="17">
        <f>SUM(C207:D207)</f>
        <v>0</v>
      </c>
      <c r="F207" s="82"/>
      <c r="G207" s="82"/>
      <c r="H207" s="17">
        <f>SUM(F207:G207)</f>
        <v>0</v>
      </c>
      <c r="I207" s="77" t="e">
        <f t="shared" si="22"/>
        <v>#DIV/0!</v>
      </c>
      <c r="J207" s="30"/>
      <c r="K207" s="30"/>
      <c r="L207" s="17">
        <f>SUM(J207:K207)</f>
        <v>0</v>
      </c>
      <c r="M207" s="7" t="e">
        <f t="shared" si="27"/>
        <v>#DIV/0!</v>
      </c>
      <c r="N207" s="30"/>
      <c r="O207" s="30"/>
      <c r="P207" s="17">
        <f>SUM(N207:O207)</f>
        <v>0</v>
      </c>
      <c r="Q207" s="92" t="e">
        <f>P207/L207</f>
        <v>#DIV/0!</v>
      </c>
    </row>
    <row r="208" spans="1:17" s="2" customFormat="1" ht="21.75" customHeight="1">
      <c r="A208" s="51"/>
      <c r="B208" s="31" t="s">
        <v>159</v>
      </c>
      <c r="C208" s="33">
        <v>130331055</v>
      </c>
      <c r="D208" s="30"/>
      <c r="E208" s="17">
        <f>SUM(C208:D208)</f>
        <v>130331055</v>
      </c>
      <c r="F208" s="119">
        <v>92470134.48</v>
      </c>
      <c r="G208" s="82"/>
      <c r="H208" s="17">
        <f>SUM(F208:G208)</f>
        <v>92470134.48</v>
      </c>
      <c r="I208" s="77">
        <f t="shared" si="22"/>
        <v>0.7095019255387751</v>
      </c>
      <c r="J208" s="33">
        <v>120569561</v>
      </c>
      <c r="K208" s="30"/>
      <c r="L208" s="17">
        <f>SUM(J208:K208)</f>
        <v>120569561</v>
      </c>
      <c r="M208" s="7">
        <f t="shared" si="27"/>
        <v>0.9251023173256749</v>
      </c>
      <c r="N208" s="33">
        <v>50127718</v>
      </c>
      <c r="O208" s="30"/>
      <c r="P208" s="17">
        <f>SUM(N208:O208)</f>
        <v>50127718</v>
      </c>
      <c r="Q208" s="92">
        <f>P208/L208</f>
        <v>0.4157576554500352</v>
      </c>
    </row>
    <row r="209" spans="1:17" s="2" customFormat="1" ht="22.5" customHeight="1">
      <c r="A209" s="51"/>
      <c r="B209" s="31" t="s">
        <v>160</v>
      </c>
      <c r="C209" s="33">
        <v>130331055</v>
      </c>
      <c r="D209" s="30"/>
      <c r="E209" s="17">
        <f>SUM(C209:D209)</f>
        <v>130331055</v>
      </c>
      <c r="F209" s="119">
        <v>92470134.48</v>
      </c>
      <c r="G209" s="82"/>
      <c r="H209" s="17">
        <f>SUM(F209:G209)</f>
        <v>92470134.48</v>
      </c>
      <c r="I209" s="77">
        <f t="shared" si="22"/>
        <v>0.7095019255387751</v>
      </c>
      <c r="J209" s="33">
        <v>120566861</v>
      </c>
      <c r="K209" s="30"/>
      <c r="L209" s="17">
        <f>SUM(J209:K209)</f>
        <v>120566861</v>
      </c>
      <c r="M209" s="7">
        <f t="shared" si="27"/>
        <v>0.9250816008510021</v>
      </c>
      <c r="N209" s="33">
        <v>50127718</v>
      </c>
      <c r="O209" s="30"/>
      <c r="P209" s="17">
        <f>SUM(N209:O209)</f>
        <v>50127718</v>
      </c>
      <c r="Q209" s="92">
        <f>P209/L209</f>
        <v>0.41576696601564506</v>
      </c>
    </row>
    <row r="210" spans="1:17" s="72" customFormat="1" ht="21" customHeight="1">
      <c r="A210" s="68"/>
      <c r="B210" s="69" t="s">
        <v>114</v>
      </c>
      <c r="C210" s="67">
        <f>SUM(C204,C5)</f>
        <v>760193951</v>
      </c>
      <c r="D210" s="67">
        <f>SUM(D204,D5)</f>
        <v>313952970</v>
      </c>
      <c r="E210" s="30">
        <f>SUM(C210:D210)</f>
        <v>1074146921</v>
      </c>
      <c r="F210" s="111">
        <f>SUM(F204,F5)</f>
        <v>744721974.99</v>
      </c>
      <c r="G210" s="111">
        <f>SUM(G204,G5)</f>
        <v>268473136.42</v>
      </c>
      <c r="H210" s="30">
        <f>SUM(F210:G210)</f>
        <v>1013195111.4100001</v>
      </c>
      <c r="I210" s="77">
        <f t="shared" si="22"/>
        <v>0.9432556120597958</v>
      </c>
      <c r="J210" s="67">
        <f>SUM(J204,J5)</f>
        <v>797264903.3900001</v>
      </c>
      <c r="K210" s="67">
        <f>SUM(K204,K5)</f>
        <v>324769878.75</v>
      </c>
      <c r="L210" s="30">
        <f>SUM(J210:K210)</f>
        <v>1122034782.14</v>
      </c>
      <c r="M210" s="7">
        <f t="shared" si="27"/>
        <v>1.0445822263265605</v>
      </c>
      <c r="N210" s="67">
        <f>SUM(N204,N5)</f>
        <v>872491913</v>
      </c>
      <c r="O210" s="67">
        <f>SUM(O204,O5)</f>
        <v>229954383</v>
      </c>
      <c r="P210" s="30">
        <f>SUM(N210:O210)</f>
        <v>1102446296</v>
      </c>
      <c r="Q210" s="92">
        <f>P210/L210</f>
        <v>0.9825419974034674</v>
      </c>
    </row>
    <row r="211" spans="1:17" s="3" customFormat="1" ht="11.25">
      <c r="A211" s="1"/>
      <c r="B211" s="50"/>
      <c r="C211" s="2"/>
      <c r="D211" s="2"/>
      <c r="E211" s="2"/>
      <c r="F211" s="86"/>
      <c r="G211" s="86"/>
      <c r="H211" s="89"/>
      <c r="I211" s="89"/>
      <c r="J211" s="89"/>
      <c r="K211" s="89"/>
      <c r="L211" s="89"/>
      <c r="M211" s="89"/>
      <c r="N211" s="89"/>
      <c r="O211" s="89"/>
      <c r="P211" s="89"/>
      <c r="Q211" s="86"/>
    </row>
  </sheetData>
  <mergeCells count="15">
    <mergeCell ref="A134:B134"/>
    <mergeCell ref="A139:B139"/>
    <mergeCell ref="A204:B204"/>
    <mergeCell ref="A5:B5"/>
    <mergeCell ref="A6:B6"/>
    <mergeCell ref="A1:Q1"/>
    <mergeCell ref="A2:A3"/>
    <mergeCell ref="B2:B3"/>
    <mergeCell ref="C2:E2"/>
    <mergeCell ref="F2:H2"/>
    <mergeCell ref="I2:I3"/>
    <mergeCell ref="J2:L2"/>
    <mergeCell ref="M2:M3"/>
    <mergeCell ref="N2:P2"/>
    <mergeCell ref="Q2:Q3"/>
  </mergeCells>
  <printOptions/>
  <pageMargins left="0.75" right="0.61" top="0.55" bottom="0.58" header="0.5" footer="0.4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kbara</cp:lastModifiedBy>
  <cp:lastPrinted>2008-01-25T13:06:16Z</cp:lastPrinted>
  <dcterms:created xsi:type="dcterms:W3CDTF">2005-11-15T08:37:02Z</dcterms:created>
  <dcterms:modified xsi:type="dcterms:W3CDTF">2008-01-25T13:06:42Z</dcterms:modified>
  <cp:category/>
  <cp:version/>
  <cp:contentType/>
  <cp:contentStatus/>
</cp:coreProperties>
</file>